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ZkEC01BVsgCgUheLWS6DS4Q6T7iEh+l9s6vv/H/Ct70o52IhGI4xf6dR0Exyo48rfw8s/aQ5LuzfGFgkcpulTg==" workbookSaltValue="hjJcRJDIMvE50Gtwf9O+nQ==" workbookSpinCount="100000"/>
  <bookViews>
    <workbookView xWindow="-120" yWindow="-120" windowWidth="20730" windowHeight="11160" tabRatio="500" activeTab="1"/>
  </bookViews>
  <sheets>
    <sheet name="使い方" sheetId="1" r:id="rId1"/>
    <sheet name="【令和8年度】小浜市国民健康保険税試算" sheetId="2" r:id="rId2"/>
    <sheet name="基礎情報" sheetId="3" state="hidden" r:id="rId3"/>
    <sheet name="軽減判定" sheetId="4" state="hidden" r:id="rId4"/>
    <sheet name="給与所得" sheetId="5" state="hidden" r:id="rId5"/>
    <sheet name="年金所得" sheetId="6" state="hidden" r:id="rId6"/>
  </sheets>
  <definedNames>
    <definedName name="_xlnm.Print_Area" localSheetId="0">使い方!$A$1:$X$52</definedName>
    <definedName name="_xlnm.Print_Area" localSheetId="1">'【令和8年度】小浜市国民健康保険税試算'!$A$1:$N$47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Unknown Author</author>
  </authors>
  <commentList>
    <comment ref="N8" authorId="0">
      <text>
        <r>
          <rPr>
            <sz val="10"/>
            <color auto="1"/>
            <rFont val="游ゴシック"/>
          </rPr>
          <t>所得金額調整控除の対象となるかチェックしています。
（条件）
給与所得控除後の給与等の金額及び公的年金等に係る雑所得があり、給与所得控除後の金額と公的年金等に係る雑所得の合計が</t>
        </r>
        <r>
          <rPr>
            <sz val="10"/>
            <color auto="1"/>
            <rFont val="Arial"/>
          </rPr>
          <t>10</t>
        </r>
        <r>
          <rPr>
            <sz val="10"/>
            <color auto="1"/>
            <rFont val="游ゴシック"/>
          </rPr>
          <t xml:space="preserve">万円を超える場合
※ここでは給与所得がある　かつ　公的年金等に係る雑所得がある　場合は１とする
</t>
        </r>
      </text>
    </comment>
    <comment ref="O8" authorId="0">
      <text>
        <r>
          <rPr>
            <sz val="10"/>
            <color auto="1"/>
            <rFont val="游ゴシック"/>
          </rPr>
          <t>軽減判定における給与所得者に該当するかチェックしています。
（条件）
一定の給与所得者（給与収入</t>
        </r>
        <r>
          <rPr>
            <sz val="10"/>
            <color auto="1"/>
            <rFont val="Arial"/>
          </rPr>
          <t>55</t>
        </r>
        <r>
          <rPr>
            <sz val="10"/>
            <color auto="1"/>
            <rFont val="游ゴシック"/>
          </rPr>
          <t>万円超） または　公的年金等に係る所得を有する者（</t>
        </r>
        <r>
          <rPr>
            <sz val="10"/>
            <color auto="1"/>
            <rFont val="Arial"/>
          </rPr>
          <t>65</t>
        </r>
        <r>
          <rPr>
            <sz val="10"/>
            <color auto="1"/>
            <rFont val="游ゴシック"/>
          </rPr>
          <t>歳未満：公的年金等収入</t>
        </r>
        <r>
          <rPr>
            <sz val="10"/>
            <color auto="1"/>
            <rFont val="Arial"/>
          </rPr>
          <t>60</t>
        </r>
        <r>
          <rPr>
            <sz val="10"/>
            <color auto="1"/>
            <rFont val="游ゴシック"/>
          </rPr>
          <t>万円超、</t>
        </r>
        <r>
          <rPr>
            <sz val="10"/>
            <color auto="1"/>
            <rFont val="Arial"/>
          </rPr>
          <t>65</t>
        </r>
        <r>
          <rPr>
            <sz val="10"/>
            <color auto="1"/>
            <rFont val="游ゴシック"/>
          </rPr>
          <t>歳以上</t>
        </r>
        <r>
          <rPr>
            <sz val="10"/>
            <color auto="1"/>
            <rFont val="Arial"/>
          </rPr>
          <t>110</t>
        </r>
        <r>
          <rPr>
            <sz val="10"/>
            <color auto="1"/>
            <rFont val="游ゴシック"/>
          </rPr>
          <t>万円超）。</t>
        </r>
      </text>
    </comment>
    <comment ref="P9" authorId="0">
      <text>
        <r>
          <rPr>
            <sz val="10"/>
            <color auto="1"/>
            <rFont val="游ゴシック"/>
          </rPr>
          <t>介護分の加入月を計算するため、月末時点での年齢を算出しています。
誕生日の前日で歳をとるため、関数は「誕生日</t>
        </r>
        <r>
          <rPr>
            <sz val="10"/>
            <color auto="1"/>
            <rFont val="Arial"/>
          </rPr>
          <t>-1</t>
        </r>
        <r>
          <rPr>
            <sz val="10"/>
            <color auto="1"/>
            <rFont val="游ゴシック"/>
          </rPr>
          <t>」を基準とします。
例</t>
        </r>
        <r>
          <rPr>
            <sz val="10"/>
            <color auto="1"/>
            <rFont val="Arial"/>
          </rPr>
          <t>.</t>
        </r>
        <r>
          <rPr>
            <sz val="10"/>
            <color auto="1"/>
            <rFont val="游ゴシック"/>
          </rPr>
          <t>今年</t>
        </r>
        <r>
          <rPr>
            <sz val="10"/>
            <color auto="1"/>
            <rFont val="Arial"/>
          </rPr>
          <t>40</t>
        </r>
        <r>
          <rPr>
            <sz val="10"/>
            <color auto="1"/>
            <rFont val="游ゴシック"/>
          </rPr>
          <t>歳になる</t>
        </r>
        <r>
          <rPr>
            <sz val="10"/>
            <color auto="1"/>
            <rFont val="Arial"/>
          </rPr>
          <t>5/1</t>
        </r>
        <r>
          <rPr>
            <sz val="10"/>
            <color auto="1"/>
            <rFont val="游ゴシック"/>
          </rPr>
          <t>生まれの人は、</t>
        </r>
        <r>
          <rPr>
            <sz val="10"/>
            <color auto="1"/>
            <rFont val="Arial"/>
          </rPr>
          <t>4/30</t>
        </r>
        <r>
          <rPr>
            <sz val="10"/>
            <color auto="1"/>
            <rFont val="游ゴシック"/>
          </rPr>
          <t>時点で</t>
        </r>
        <r>
          <rPr>
            <sz val="10"/>
            <color auto="1"/>
            <rFont val="Arial"/>
          </rPr>
          <t>40</t>
        </r>
        <r>
          <rPr>
            <sz val="10"/>
            <color auto="1"/>
            <rFont val="游ゴシック"/>
          </rPr>
          <t>歳となる為、</t>
        </r>
        <r>
          <rPr>
            <sz val="10"/>
            <color auto="1"/>
            <rFont val="Arial"/>
          </rPr>
          <t>4</t>
        </r>
        <r>
          <rPr>
            <sz val="10"/>
            <color auto="1"/>
            <rFont val="游ゴシック"/>
          </rPr>
          <t xml:space="preserve">月分から介護分が賦課される。
</t>
        </r>
      </text>
    </comment>
    <comment ref="AE8" authorId="0">
      <text>
        <r>
          <rPr>
            <sz val="10"/>
            <color auto="1"/>
            <rFont val="游ゴシック"/>
          </rPr>
          <t>年度途中で</t>
        </r>
        <r>
          <rPr>
            <sz val="10"/>
            <color auto="1"/>
            <rFont val="Arial"/>
          </rPr>
          <t>75</t>
        </r>
        <r>
          <rPr>
            <sz val="10"/>
            <color auto="1"/>
            <rFont val="游ゴシック"/>
          </rPr>
          <t>歳到達し国保脱退となる人、</t>
        </r>
        <r>
          <rPr>
            <sz val="10"/>
            <color auto="1"/>
            <rFont val="Arial"/>
          </rPr>
          <t>40</t>
        </r>
        <r>
          <rPr>
            <sz val="10"/>
            <color auto="1"/>
            <rFont val="游ゴシック"/>
          </rPr>
          <t>歳到達し介護分が賦課される人の調整のため、　加入月</t>
        </r>
        <r>
          <rPr>
            <sz val="10"/>
            <color auto="1"/>
            <rFont val="Arial"/>
          </rPr>
          <t>÷12</t>
        </r>
        <r>
          <rPr>
            <sz val="10"/>
            <color auto="1"/>
            <rFont val="游ゴシック"/>
          </rPr>
          <t>か月　で税額の簡易的な調整を行っています。　※後期以降による軽減（旧国保）は再現していないため、実際の税額とズレます。</t>
        </r>
      </text>
    </comment>
  </commentList>
</comments>
</file>

<file path=xl/sharedStrings.xml><?xml version="1.0" encoding="utf-8"?>
<sst xmlns="http://schemas.openxmlformats.org/spreadsheetml/2006/main" xmlns:r="http://schemas.openxmlformats.org/officeDocument/2006/relationships" count="128" uniqueCount="128">
  <si>
    <t>年度</t>
  </si>
  <si>
    <t>加入
期間</t>
  </si>
  <si>
    <t>その他所得</t>
  </si>
  <si>
    <t>生年月日</t>
  </si>
  <si>
    <t>加入者情報の入力</t>
  </si>
  <si>
    <t>　⑤　対象被保険者数</t>
  </si>
  <si>
    <t>2月年齢</t>
  </si>
  <si>
    <t>世帯主の国民健康保険への加入の有無</t>
  </si>
  <si>
    <t>1/1時点
年齢</t>
  </si>
  <si>
    <t>区分</t>
  </si>
  <si>
    <t>7月年齢</t>
  </si>
  <si>
    <t>加入する</t>
  </si>
  <si>
    <t>未就学児
軽減</t>
  </si>
  <si>
    <t>子ども
子育て</t>
  </si>
  <si>
    <t>内訳</t>
  </si>
  <si>
    <t>支援金分均等割</t>
  </si>
  <si>
    <t>所得割標準額</t>
  </si>
  <si>
    <t>給与収入</t>
  </si>
  <si>
    <t>医療均等割</t>
  </si>
  <si>
    <t>給与所得</t>
  </si>
  <si>
    <t>介護加入月数</t>
  </si>
  <si>
    <t>雑（年金）所得</t>
  </si>
  <si>
    <t>（軽減判定用)給与所得者等チェック</t>
  </si>
  <si>
    <t>公的年金収入</t>
  </si>
  <si>
    <t>総所得金額</t>
  </si>
  <si>
    <t>所得金額調整控除チェック</t>
  </si>
  <si>
    <t>130万円以下</t>
  </si>
  <si>
    <t>4月年齢</t>
  </si>
  <si>
    <t>世帯主</t>
  </si>
  <si>
    <t>5月年齢</t>
  </si>
  <si>
    <t>-</t>
  </si>
  <si>
    <t>6月年齢</t>
  </si>
  <si>
    <t>9月年齢</t>
  </si>
  <si>
    <t>8月年齢</t>
  </si>
  <si>
    <t>10月年齢</t>
  </si>
  <si>
    <t>基準額</t>
  </si>
  <si>
    <t>11月年齢</t>
  </si>
  <si>
    <t>子ども・子育て
支援金分</t>
  </si>
  <si>
    <t>12月年齢</t>
  </si>
  <si>
    <t>介護納付金分</t>
  </si>
  <si>
    <t>均等割額</t>
  </si>
  <si>
    <t>1月年齢</t>
  </si>
  <si>
    <t>3月年齢</t>
  </si>
  <si>
    <t>世帯員①</t>
  </si>
  <si>
    <t>介護均等割</t>
  </si>
  <si>
    <t>加入月数</t>
  </si>
  <si>
    <t>世帯員⑤</t>
  </si>
  <si>
    <t>子子所得割</t>
  </si>
  <si>
    <t>子子支援
加入</t>
  </si>
  <si>
    <t>の保険税は、</t>
  </si>
  <si>
    <t>医療所得割</t>
  </si>
  <si>
    <t>支援金分所得割</t>
  </si>
  <si>
    <t>介護所得割</t>
  </si>
  <si>
    <t>子子均等割</t>
  </si>
  <si>
    <t>世帯員②</t>
  </si>
  <si>
    <t>世帯員③</t>
  </si>
  <si>
    <t>世帯員④</t>
  </si>
  <si>
    <t>世帯員⑥</t>
  </si>
  <si>
    <t>世帯員⑦</t>
  </si>
  <si>
    <t>保険税計算結果</t>
  </si>
  <si>
    <t>　⑪　軽減後算出額　…⑧－⑨－⑩</t>
  </si>
  <si>
    <t>1000万以下</t>
  </si>
  <si>
    <t>となる見込みです。</t>
  </si>
  <si>
    <t>基礎分</t>
  </si>
  <si>
    <t>　　　加入者数</t>
  </si>
  <si>
    <t>　②　所得割税率</t>
  </si>
  <si>
    <t>　⑥　均等割額　…　④×⑤</t>
  </si>
  <si>
    <t>介護分</t>
  </si>
  <si>
    <t>　③　所得割額　…　①×②</t>
  </si>
  <si>
    <t>　④　均等割額</t>
  </si>
  <si>
    <t>　⑦　平等割額</t>
  </si>
  <si>
    <t>　⑧　算出合計額　…　③＋⑥＋⑦</t>
  </si>
  <si>
    <t>軽減</t>
  </si>
  <si>
    <t>　　　軽減判定所得金額</t>
  </si>
  <si>
    <t>　　　給与所得者等の数</t>
  </si>
  <si>
    <t>　　　未就学児人数</t>
  </si>
  <si>
    <t>　　　所得軽減割合</t>
  </si>
  <si>
    <t xml:space="preserve">  ⑨　軽減均等割額</t>
  </si>
  <si>
    <t xml:space="preserve">  ⑩　軽減平等割額</t>
  </si>
  <si>
    <t>　　　限度額</t>
  </si>
  <si>
    <t>　⑫　限度超過額</t>
  </si>
  <si>
    <t>　⑬　年間保険税額…⑪-⑫</t>
  </si>
  <si>
    <t>330万円以下</t>
  </si>
  <si>
    <t>税率・税額</t>
  </si>
  <si>
    <t>医療分</t>
  </si>
  <si>
    <t>後期分</t>
  </si>
  <si>
    <t>子ども・子育て支援</t>
  </si>
  <si>
    <t>所得割率</t>
  </si>
  <si>
    <t>平等割額</t>
  </si>
  <si>
    <t>賦課限度額</t>
  </si>
  <si>
    <t xml:space="preserve"> </t>
  </si>
  <si>
    <r>
      <t>　</t>
    </r>
    <r>
      <rPr>
        <sz val="16"/>
        <color theme="1"/>
        <rFont val="HG丸ｺﾞｼｯｸM-PRO"/>
      </rPr>
      <t>①　所得割算定基礎額</t>
    </r>
    <r>
      <rPr>
        <sz val="12"/>
        <color theme="1"/>
        <rFont val="HG丸ｺﾞｼｯｸM-PRO"/>
      </rPr>
      <t>（所得割標準額の合計）</t>
    </r>
    <r>
      <rPr>
        <sz val="16"/>
        <color theme="1"/>
        <rFont val="HG丸ｺﾞｼｯｸM-PRO"/>
      </rPr>
      <t>　</t>
    </r>
  </si>
  <si>
    <t>年齢判定基準日</t>
  </si>
  <si>
    <t>未就学・子子判定</t>
  </si>
  <si>
    <t>軽減判定額</t>
  </si>
  <si>
    <t>軽減判定基準　一覧</t>
  </si>
  <si>
    <t>7割軽減</t>
  </si>
  <si>
    <t>5割軽減</t>
  </si>
  <si>
    <t xml:space="preserve">※擬主は人数に含まない
</t>
  </si>
  <si>
    <t>2割軽減</t>
  </si>
  <si>
    <t>※擬主は人数に含まない</t>
  </si>
  <si>
    <t>給与所得者等人数</t>
  </si>
  <si>
    <t>加入者数</t>
  </si>
  <si>
    <t>加除額</t>
  </si>
  <si>
    <t>軽減割合</t>
  </si>
  <si>
    <t>～</t>
  </si>
  <si>
    <t>給与収入：</t>
  </si>
  <si>
    <t>給与所得：</t>
  </si>
  <si>
    <t>給与収入額</t>
  </si>
  <si>
    <t>判定</t>
  </si>
  <si>
    <t>年金収入：</t>
  </si>
  <si>
    <t>年金以外の合計所得：</t>
  </si>
  <si>
    <t>年金所得：</t>
  </si>
  <si>
    <t>年齢判定</t>
  </si>
  <si>
    <t>年金以外の合計所得判定</t>
  </si>
  <si>
    <t>年金収入額判定</t>
  </si>
  <si>
    <t>330万円超
410万円以下</t>
  </si>
  <si>
    <t>年金所得</t>
  </si>
  <si>
    <t>65歳未満</t>
  </si>
  <si>
    <t>130万円超
410万円以下</t>
  </si>
  <si>
    <t>410万円超
770万円以下</t>
  </si>
  <si>
    <t>770万円超
1000万円以下</t>
  </si>
  <si>
    <t>1000万円超</t>
  </si>
  <si>
    <t>1000万円超
2000万円以下</t>
  </si>
  <si>
    <t>2000万円超</t>
  </si>
  <si>
    <t>65歳以上</t>
  </si>
  <si>
    <r>
      <t>給</t>
    </r>
    <r>
      <rPr>
        <sz val="11"/>
        <color theme="1"/>
        <rFont val="ＭＳ Ｐゴシック"/>
      </rPr>
      <t xml:space="preserve">与所得者等の数
</t>
    </r>
    <r>
      <rPr>
        <sz val="8"/>
        <color theme="1"/>
        <rFont val="ＭＳ Ｐゴシック"/>
      </rPr>
      <t>（擬主・特定同一世帯所属者含む）</t>
    </r>
  </si>
  <si>
    <t>後期高齢者
支援金分</t>
  </si>
</sst>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76" formatCode="[$-1D030411]ggge&quot;年度&quot;"/>
    <numFmt numFmtId="177" formatCode="yyyy/mm/dd"/>
    <numFmt numFmtId="178" formatCode="#,###&quot; 円 / 12か月&quot;"/>
    <numFmt numFmtId="179" formatCode="&quot;（ 1か月あたり &quot;#,###&quot; 円 ）&quot;"/>
    <numFmt numFmtId="180" formatCode="#,###;&quot;△ &quot;#,###"/>
    <numFmt numFmtId="181" formatCode="#,###&quot; 名 &quot;"/>
    <numFmt numFmtId="182" formatCode="#,##0;&quot;△ &quot;#,##0"/>
    <numFmt numFmtId="183" formatCode="&quot;( &quot;#,###&quot; 円 / 月 )&quot;"/>
    <numFmt numFmtId="184" formatCode="[$-1030411]ggge&quot;年度&quot;"/>
    <numFmt numFmtId="185" formatCode="#,##0_ "/>
    <numFmt numFmtId="186" formatCode="yyyy/m/d;@"/>
    <numFmt numFmtId="187" formatCode="#,###&quot; 人&quot;"/>
    <numFmt numFmtId="188" formatCode="0.0%"/>
    <numFmt numFmtId="189" formatCode="\¥#,##0;&quot;¥-&quot;#,##0"/>
    <numFmt numFmtId="190" formatCode="#,###&quot; 歳 &quot;"/>
  </numFmts>
  <fonts count="27">
    <font>
      <sz val="11"/>
      <color theme="1"/>
      <name val="ＭＳ Ｐゴシック"/>
      <family val="3"/>
    </font>
    <font>
      <sz val="6"/>
      <color auto="1"/>
      <name val="游ゴシック"/>
      <family val="3"/>
    </font>
    <font>
      <sz val="12"/>
      <color theme="1"/>
      <name val="ＭＳ ゴシック"/>
      <family val="3"/>
    </font>
    <font>
      <sz val="14"/>
      <color theme="1"/>
      <name val="ＭＳ ゴシック"/>
      <family val="3"/>
    </font>
    <font>
      <sz val="16"/>
      <color theme="1"/>
      <name val="HG丸ｺﾞｼｯｸM-PRO"/>
      <family val="3"/>
    </font>
    <font>
      <b/>
      <sz val="20"/>
      <color theme="0"/>
      <name val="HG丸ｺﾞｼｯｸM-PRO"/>
      <family val="3"/>
    </font>
    <font>
      <sz val="14"/>
      <color theme="1"/>
      <name val="HG丸ｺﾞｼｯｸM-PRO"/>
      <family val="3"/>
    </font>
    <font>
      <sz val="12"/>
      <color theme="1"/>
      <name val="HG丸ｺﾞｼｯｸM-PRO"/>
      <family val="3"/>
    </font>
    <font>
      <sz val="18"/>
      <color theme="1"/>
      <name val="ＭＳ ゴシック"/>
      <family val="3"/>
    </font>
    <font>
      <sz val="20"/>
      <color theme="1"/>
      <name val="ＭＳ ゴシック"/>
      <family val="3"/>
    </font>
    <font>
      <sz val="16"/>
      <color auto="1"/>
      <name val="HG丸ｺﾞｼｯｸM-PRO"/>
      <family val="3"/>
    </font>
    <font>
      <b/>
      <sz val="16"/>
      <color theme="1"/>
      <name val="HG丸ｺﾞｼｯｸM-PRO"/>
      <family val="3"/>
    </font>
    <font>
      <sz val="12"/>
      <color theme="0"/>
      <name val="ＭＳ ゴシック"/>
      <family val="3"/>
    </font>
    <font>
      <sz val="16"/>
      <color theme="1"/>
      <name val="ＭＳ ゴシック"/>
      <family val="3"/>
    </font>
    <font>
      <sz val="10"/>
      <color theme="1"/>
      <name val="HG丸ｺﾞｼｯｸM-PRO"/>
      <family val="3"/>
    </font>
    <font>
      <sz val="26"/>
      <color theme="1"/>
      <name val="ＭＳ ゴシック"/>
      <family val="3"/>
    </font>
    <font>
      <sz val="14"/>
      <color auto="1"/>
      <name val="ＭＳ ゴシック"/>
      <family val="3"/>
    </font>
    <font>
      <b/>
      <sz val="18"/>
      <color theme="1"/>
      <name val="ＭＳ ゴシック"/>
      <family val="3"/>
    </font>
    <font>
      <sz val="9"/>
      <color theme="1"/>
      <name val="HG丸ｺﾞｼｯｸM-PRO"/>
      <family val="3"/>
    </font>
    <font>
      <sz val="9"/>
      <color theme="1"/>
      <name val="ＭＳ ゴシック"/>
      <family val="3"/>
    </font>
    <font>
      <sz val="8.6999999999999993"/>
      <color rgb="FF333333"/>
      <name val="ＭＳ Ｐゴシック"/>
      <family val="3"/>
    </font>
    <font>
      <b/>
      <sz val="12"/>
      <color auto="1"/>
      <name val="HG丸ｺﾞｼｯｸM-PRO"/>
      <family val="3"/>
    </font>
    <font>
      <b/>
      <sz val="11"/>
      <color auto="1"/>
      <name val="HG丸ｺﾞｼｯｸM-PRO"/>
      <family val="3"/>
    </font>
    <font>
      <sz val="8"/>
      <color theme="1"/>
      <name val="ＭＳ Ｐゴシック"/>
      <family val="3"/>
    </font>
    <font>
      <sz val="12"/>
      <color theme="1"/>
      <name val="ＭＳ Ｐゴシック"/>
      <family val="3"/>
    </font>
    <font>
      <sz val="10"/>
      <color theme="1"/>
      <name val="ＭＳ Ｐゴシック"/>
      <family val="3"/>
    </font>
    <font>
      <sz val="9"/>
      <color theme="1"/>
      <name val="ＭＳ Ｐゴシック"/>
      <family val="3"/>
    </font>
  </fonts>
  <fills count="14">
    <fill>
      <patternFill patternType="none"/>
    </fill>
    <fill>
      <patternFill patternType="gray125"/>
    </fill>
    <fill>
      <patternFill patternType="solid">
        <fgColor theme="5" tint="0.8"/>
        <bgColor rgb="FFD9D9D9"/>
      </patternFill>
    </fill>
    <fill>
      <patternFill patternType="solid">
        <fgColor rgb="FFC00000"/>
        <bgColor rgb="FF808080"/>
      </patternFill>
    </fill>
    <fill>
      <patternFill patternType="solid">
        <fgColor theme="5" tint="0.4"/>
        <bgColor rgb="FFD9D9D9"/>
      </patternFill>
    </fill>
    <fill>
      <patternFill patternType="solid">
        <fgColor rgb="FFFFFF00"/>
        <bgColor rgb="FFFFFF00"/>
      </patternFill>
    </fill>
    <fill>
      <patternFill patternType="solid">
        <fgColor theme="0" tint="-0.15"/>
        <bgColor rgb="FFC6D9F1"/>
      </patternFill>
    </fill>
    <fill>
      <patternFill patternType="solid">
        <fgColor rgb="FFFFC000"/>
        <bgColor rgb="FFFF9900"/>
      </patternFill>
    </fill>
    <fill>
      <patternFill patternType="solid">
        <fgColor theme="5" tint="0.4"/>
        <bgColor rgb="FFC6D9F1"/>
      </patternFill>
    </fill>
    <fill>
      <patternFill patternType="solid">
        <fgColor theme="3" tint="0.4"/>
        <bgColor rgb="FF808080"/>
      </patternFill>
    </fill>
    <fill>
      <patternFill patternType="solid">
        <fgColor theme="3" tint="0.8"/>
        <bgColor rgb="FFD9D9D9"/>
      </patternFill>
    </fill>
    <fill>
      <patternFill patternType="solid">
        <fgColor theme="9" tint="0.6"/>
        <bgColor indexed="64"/>
      </patternFill>
    </fill>
    <fill>
      <patternFill patternType="solid">
        <fgColor theme="9" tint="0.6"/>
        <bgColor rgb="FF33CCCC"/>
      </patternFill>
    </fill>
    <fill>
      <patternFill patternType="solid">
        <fgColor rgb="FFCCFFCC"/>
        <bgColor rgb="FFCCFFFF"/>
      </patternFill>
    </fill>
  </fills>
  <borders count="2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right/>
      <top/>
      <bottom style="thin">
        <color auto="1"/>
      </bottom>
      <diagonal/>
    </border>
  </borders>
  <cellStyleXfs count="1">
    <xf numFmtId="0" fontId="0" fillId="0" borderId="0">
      <alignment vertical="center"/>
    </xf>
  </cellStyleXfs>
  <cellXfs count="152">
    <xf numFmtId="0" fontId="0" fillId="0" borderId="0" xfId="0">
      <alignment vertical="center"/>
    </xf>
    <xf numFmtId="0" fontId="2" fillId="0" borderId="0" xfId="0" applyFont="1">
      <alignment vertical="center"/>
    </xf>
    <xf numFmtId="0" fontId="3" fillId="0" borderId="0" xfId="0" applyFont="1">
      <alignment vertical="center"/>
    </xf>
    <xf numFmtId="0" fontId="4" fillId="2" borderId="1" xfId="0" applyFont="1" applyFill="1" applyBorder="1" applyAlignment="1">
      <alignment horizontal="center" vertical="center"/>
    </xf>
    <xf numFmtId="0" fontId="5" fillId="3" borderId="0" xfId="0" applyFont="1" applyFill="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7" fillId="0" borderId="2" xfId="0" applyFont="1" applyBorder="1" applyAlignment="1">
      <alignment horizontal="center" vertical="center"/>
    </xf>
    <xf numFmtId="176" fontId="8" fillId="0" borderId="0" xfId="0" applyNumberFormat="1" applyFont="1">
      <alignment vertical="center"/>
    </xf>
    <xf numFmtId="0" fontId="9" fillId="0" borderId="0" xfId="0" applyFont="1">
      <alignment vertical="center"/>
    </xf>
    <xf numFmtId="0" fontId="4" fillId="4" borderId="3" xfId="0" applyFont="1" applyFill="1" applyBorder="1" applyAlignment="1">
      <alignment horizontal="center" vertical="center"/>
    </xf>
    <xf numFmtId="0" fontId="4" fillId="4" borderId="4" xfId="0" applyFont="1" applyFill="1" applyBorder="1" applyAlignment="1">
      <alignment horizontal="left" vertical="center" wrapText="1"/>
    </xf>
    <xf numFmtId="0" fontId="4" fillId="4" borderId="4" xfId="0" applyFont="1" applyFill="1" applyBorder="1" applyAlignment="1">
      <alignment horizontal="left" vertical="center"/>
    </xf>
    <xf numFmtId="0" fontId="10" fillId="4" borderId="4" xfId="0" applyFont="1" applyFill="1" applyBorder="1" applyAlignment="1">
      <alignment horizontal="center" vertical="center"/>
    </xf>
    <xf numFmtId="0" fontId="11" fillId="4" borderId="5" xfId="0" applyFont="1" applyFill="1" applyBorder="1" applyAlignment="1">
      <alignment horizontal="left" vertical="center"/>
    </xf>
    <xf numFmtId="176" fontId="4" fillId="0" borderId="6" xfId="0" applyNumberFormat="1" applyFont="1" applyBorder="1" applyAlignment="1">
      <alignment horizontal="center" vertical="center"/>
    </xf>
    <xf numFmtId="0" fontId="12" fillId="3" borderId="0" xfId="0" applyFont="1" applyFill="1">
      <alignment vertical="center"/>
    </xf>
    <xf numFmtId="177" fontId="13" fillId="5" borderId="2" xfId="0" applyNumberFormat="1" applyFont="1" applyFill="1" applyBorder="1" applyAlignment="1" applyProtection="1">
      <alignment horizontal="center" vertical="center"/>
      <protection locked="0"/>
    </xf>
    <xf numFmtId="0" fontId="8" fillId="0" borderId="0" xfId="0" applyFont="1">
      <alignment vertical="center"/>
    </xf>
    <xf numFmtId="0" fontId="10" fillId="4"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3" fillId="6" borderId="2" xfId="0" applyFont="1" applyFill="1" applyBorder="1" applyAlignment="1">
      <alignment horizontal="center" vertical="center"/>
    </xf>
    <xf numFmtId="178" fontId="15" fillId="7" borderId="0" xfId="0" applyNumberFormat="1" applyFont="1" applyFill="1" applyAlignment="1">
      <alignment horizontal="center" vertical="center"/>
    </xf>
    <xf numFmtId="179" fontId="8" fillId="0" borderId="0" xfId="0" applyNumberFormat="1" applyFont="1" applyAlignment="1">
      <alignment horizontal="center" vertical="center"/>
    </xf>
    <xf numFmtId="0" fontId="4" fillId="5" borderId="7" xfId="0" applyFont="1" applyFill="1" applyBorder="1" applyAlignment="1" applyProtection="1">
      <alignment horizontal="center" vertical="center"/>
      <protection locked="0"/>
    </xf>
    <xf numFmtId="180" fontId="3" fillId="5" borderId="2" xfId="0" applyNumberFormat="1" applyFont="1" applyFill="1" applyBorder="1" applyProtection="1">
      <alignment vertical="center"/>
      <protection locked="0"/>
    </xf>
    <xf numFmtId="0" fontId="6" fillId="4" borderId="8" xfId="0" applyFont="1" applyFill="1" applyBorder="1" applyAlignment="1">
      <alignment horizontal="center" vertical="center"/>
    </xf>
    <xf numFmtId="180" fontId="3" fillId="0" borderId="2" xfId="0" applyNumberFormat="1" applyFont="1" applyBorder="1">
      <alignment vertical="center"/>
    </xf>
    <xf numFmtId="10" fontId="3" fillId="0" borderId="2" xfId="0" applyNumberFormat="1" applyFont="1" applyBorder="1">
      <alignment vertical="center"/>
    </xf>
    <xf numFmtId="180" fontId="16" fillId="4" borderId="2" xfId="0" applyNumberFormat="1" applyFont="1" applyFill="1" applyBorder="1">
      <alignment vertical="center"/>
    </xf>
    <xf numFmtId="181" fontId="16" fillId="4" borderId="2" xfId="0" applyNumberFormat="1" applyFont="1" applyFill="1" applyBorder="1">
      <alignment vertical="center"/>
    </xf>
    <xf numFmtId="9" fontId="16" fillId="4" borderId="2" xfId="0" applyNumberFormat="1" applyFont="1" applyFill="1" applyBorder="1">
      <alignment vertical="center"/>
    </xf>
    <xf numFmtId="182" fontId="3" fillId="0" borderId="2" xfId="0" applyNumberFormat="1" applyFont="1" applyBorder="1">
      <alignment vertical="center"/>
    </xf>
    <xf numFmtId="180" fontId="17" fillId="0" borderId="9" xfId="0" applyNumberFormat="1" applyFont="1" applyBorder="1">
      <alignment vertical="center"/>
    </xf>
    <xf numFmtId="180" fontId="3" fillId="6" borderId="2" xfId="0" applyNumberFormat="1" applyFont="1" applyFill="1" applyBorder="1">
      <alignment vertical="center"/>
    </xf>
    <xf numFmtId="0" fontId="6" fillId="4"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182" fontId="16" fillId="6" borderId="2" xfId="0" applyNumberFormat="1" applyFont="1" applyFill="1" applyBorder="1">
      <alignment vertical="center"/>
    </xf>
    <xf numFmtId="180" fontId="2" fillId="0" borderId="0" xfId="0" applyNumberFormat="1" applyFont="1">
      <alignment vertical="center"/>
    </xf>
    <xf numFmtId="178" fontId="8" fillId="0" borderId="0" xfId="0" applyNumberFormat="1" applyFont="1">
      <alignment vertical="center"/>
    </xf>
    <xf numFmtId="183" fontId="8" fillId="0" borderId="0" xfId="0" applyNumberFormat="1" applyFont="1">
      <alignment vertical="center"/>
    </xf>
    <xf numFmtId="0" fontId="7" fillId="4" borderId="10" xfId="0" applyFont="1" applyFill="1" applyBorder="1" applyAlignment="1">
      <alignment horizontal="center" vertical="center" wrapText="1"/>
    </xf>
    <xf numFmtId="180" fontId="3" fillId="0" borderId="11" xfId="0" applyNumberFormat="1" applyFont="1" applyBorder="1">
      <alignment vertical="center"/>
    </xf>
    <xf numFmtId="10" fontId="3" fillId="0" borderId="11" xfId="0" applyNumberFormat="1" applyFont="1" applyBorder="1">
      <alignment vertical="center"/>
    </xf>
    <xf numFmtId="180" fontId="16" fillId="4" borderId="11" xfId="0" applyNumberFormat="1" applyFont="1" applyFill="1" applyBorder="1">
      <alignment vertical="center"/>
    </xf>
    <xf numFmtId="181" fontId="16" fillId="4" borderId="11" xfId="0" applyNumberFormat="1" applyFont="1" applyFill="1" applyBorder="1">
      <alignment vertical="center"/>
    </xf>
    <xf numFmtId="182" fontId="16" fillId="8" borderId="11" xfId="0" applyNumberFormat="1" applyFont="1" applyFill="1" applyBorder="1">
      <alignment vertical="center"/>
    </xf>
    <xf numFmtId="9" fontId="16" fillId="4" borderId="11" xfId="0" applyNumberFormat="1" applyFont="1" applyFill="1" applyBorder="1">
      <alignment vertical="center"/>
    </xf>
    <xf numFmtId="182" fontId="3" fillId="0" borderId="11" xfId="0" applyNumberFormat="1" applyFont="1" applyBorder="1">
      <alignment vertical="center"/>
    </xf>
    <xf numFmtId="180" fontId="17" fillId="0" borderId="12" xfId="0" applyNumberFormat="1" applyFont="1" applyBorder="1">
      <alignment vertical="center"/>
    </xf>
    <xf numFmtId="0" fontId="13" fillId="0" borderId="0" xfId="0" applyFont="1" applyAlignment="1">
      <alignment vertical="top" wrapText="1"/>
    </xf>
    <xf numFmtId="180" fontId="3" fillId="0" borderId="0" xfId="0" applyNumberFormat="1" applyFont="1">
      <alignment vertical="center"/>
    </xf>
    <xf numFmtId="0" fontId="12" fillId="9" borderId="0" xfId="0" applyFont="1" applyFill="1">
      <alignment vertical="center"/>
    </xf>
    <xf numFmtId="0" fontId="18" fillId="10" borderId="0" xfId="0" applyFont="1" applyFill="1" applyAlignment="1">
      <alignment horizontal="center" vertical="center" wrapText="1"/>
    </xf>
    <xf numFmtId="180" fontId="2" fillId="6" borderId="0" xfId="0" applyNumberFormat="1" applyFont="1" applyFill="1">
      <alignment vertical="center"/>
    </xf>
    <xf numFmtId="180" fontId="3" fillId="6" borderId="0" xfId="0" applyNumberFormat="1" applyFont="1" applyFill="1">
      <alignment vertical="center"/>
    </xf>
    <xf numFmtId="0" fontId="19" fillId="0" borderId="0" xfId="0" applyFont="1" applyAlignment="1">
      <alignment vertical="center" wrapText="1"/>
    </xf>
    <xf numFmtId="177" fontId="19" fillId="0" borderId="0" xfId="0" applyNumberFormat="1" applyFont="1">
      <alignment vertical="center"/>
    </xf>
    <xf numFmtId="0" fontId="2" fillId="10" borderId="2" xfId="0" applyFont="1" applyFill="1" applyBorder="1" applyAlignment="1">
      <alignment horizontal="center" vertical="center"/>
    </xf>
    <xf numFmtId="180" fontId="2" fillId="6" borderId="2" xfId="0" applyNumberFormat="1" applyFont="1" applyFill="1" applyBorder="1">
      <alignment vertical="center"/>
    </xf>
    <xf numFmtId="10" fontId="2" fillId="0" borderId="0" xfId="0" applyNumberFormat="1" applyFont="1">
      <alignment vertical="center"/>
    </xf>
    <xf numFmtId="9" fontId="2" fillId="0" borderId="0" xfId="0" applyNumberFormat="1" applyFont="1">
      <alignment vertical="center"/>
    </xf>
    <xf numFmtId="0" fontId="20" fillId="0" borderId="0" xfId="0" applyFont="1" applyAlignment="1">
      <alignment horizontal="left" vertical="center" readingOrder="1"/>
    </xf>
    <xf numFmtId="177" fontId="2" fillId="0" borderId="0" xfId="0" applyNumberFormat="1" applyFont="1">
      <alignment vertical="center"/>
    </xf>
    <xf numFmtId="0" fontId="2" fillId="10" borderId="2" xfId="0" applyFont="1" applyFill="1" applyBorder="1" applyAlignment="1">
      <alignment horizontal="center" vertical="center" wrapText="1"/>
    </xf>
    <xf numFmtId="184" fontId="21" fillId="11" borderId="13" xfId="0" applyNumberFormat="1" applyFont="1" applyFill="1" applyBorder="1" applyAlignment="1">
      <alignment horizontal="right" vertical="center"/>
    </xf>
    <xf numFmtId="0" fontId="22" fillId="11" borderId="4" xfId="0" applyFont="1" applyFill="1" applyBorder="1" applyAlignment="1">
      <alignment horizontal="center" vertical="center"/>
    </xf>
    <xf numFmtId="0" fontId="22" fillId="11" borderId="5" xfId="0" applyFont="1" applyFill="1" applyBorder="1" applyAlignment="1">
      <alignment horizontal="center" vertical="center"/>
    </xf>
    <xf numFmtId="0" fontId="23" fillId="12" borderId="3" xfId="0" applyFont="1" applyFill="1" applyBorder="1" applyAlignment="1">
      <alignment horizontal="center" vertical="center"/>
    </xf>
    <xf numFmtId="0" fontId="23" fillId="12" borderId="5" xfId="0" applyFont="1" applyFill="1" applyBorder="1" applyAlignment="1">
      <alignment horizontal="center" vertical="center"/>
    </xf>
    <xf numFmtId="0" fontId="0" fillId="12" borderId="3" xfId="0" applyFill="1" applyBorder="1" applyAlignment="1">
      <alignment vertical="center" wrapText="1"/>
    </xf>
    <xf numFmtId="0" fontId="0" fillId="12" borderId="5" xfId="0" applyFill="1" applyBorder="1">
      <alignment vertical="center"/>
    </xf>
    <xf numFmtId="0" fontId="0" fillId="12" borderId="14" xfId="0" applyFill="1" applyBorder="1">
      <alignment vertical="center"/>
    </xf>
    <xf numFmtId="185" fontId="0" fillId="5" borderId="15" xfId="0" applyNumberFormat="1" applyFill="1" applyBorder="1">
      <alignment vertical="center"/>
    </xf>
    <xf numFmtId="0" fontId="0" fillId="12" borderId="15" xfId="0" applyFill="1" applyBorder="1" applyAlignment="1">
      <alignment vertical="center" wrapText="1"/>
    </xf>
    <xf numFmtId="0" fontId="0" fillId="12" borderId="16" xfId="0" applyFill="1" applyBorder="1">
      <alignment vertical="center"/>
    </xf>
    <xf numFmtId="0" fontId="22" fillId="11" borderId="2" xfId="0" applyFont="1" applyFill="1" applyBorder="1" applyAlignment="1">
      <alignment horizontal="center" vertical="center"/>
    </xf>
    <xf numFmtId="10" fontId="24" fillId="0" borderId="2" xfId="0" applyNumberFormat="1" applyFont="1" applyBorder="1">
      <alignment vertical="center"/>
    </xf>
    <xf numFmtId="185" fontId="24" fillId="0" borderId="2" xfId="0" applyNumberFormat="1" applyFont="1" applyBorder="1">
      <alignment vertical="center"/>
    </xf>
    <xf numFmtId="185" fontId="24" fillId="0" borderId="9" xfId="0" applyNumberFormat="1" applyFont="1" applyBorder="1">
      <alignment vertical="center"/>
    </xf>
    <xf numFmtId="177" fontId="0" fillId="0" borderId="10" xfId="0" applyNumberFormat="1" applyBorder="1" applyAlignment="1">
      <alignment horizontal="center" vertical="center"/>
    </xf>
    <xf numFmtId="186" fontId="0" fillId="0" borderId="12" xfId="0" applyNumberFormat="1" applyBorder="1" applyAlignment="1">
      <alignment horizontal="center" vertical="center"/>
    </xf>
    <xf numFmtId="0" fontId="0" fillId="12" borderId="17" xfId="0" applyFill="1" applyBorder="1">
      <alignment vertical="center"/>
    </xf>
    <xf numFmtId="0" fontId="0" fillId="0" borderId="18" xfId="0" applyBorder="1" applyAlignment="1">
      <alignment horizontal="center" vertical="center"/>
    </xf>
    <xf numFmtId="187" fontId="0" fillId="0" borderId="17" xfId="0" applyNumberFormat="1" applyBorder="1">
      <alignment vertical="center"/>
    </xf>
    <xf numFmtId="187" fontId="0" fillId="0" borderId="6" xfId="0" applyNumberFormat="1" applyBorder="1">
      <alignment vertical="center"/>
    </xf>
    <xf numFmtId="187" fontId="0" fillId="0" borderId="18" xfId="0" applyNumberFormat="1" applyBorder="1">
      <alignment vertical="center"/>
    </xf>
    <xf numFmtId="177" fontId="21" fillId="11" borderId="19" xfId="0" applyNumberFormat="1" applyFont="1" applyFill="1" applyBorder="1" applyAlignment="1">
      <alignment horizontal="left" vertical="center"/>
    </xf>
    <xf numFmtId="187" fontId="0" fillId="12" borderId="8" xfId="0" applyNumberFormat="1" applyFill="1" applyBorder="1">
      <alignment vertical="center"/>
    </xf>
    <xf numFmtId="0" fontId="0" fillId="0" borderId="9" xfId="0" applyBorder="1">
      <alignment vertical="center"/>
    </xf>
    <xf numFmtId="0" fontId="0" fillId="0" borderId="20" xfId="0" applyBorder="1">
      <alignment vertical="center"/>
    </xf>
    <xf numFmtId="0" fontId="0" fillId="0" borderId="2" xfId="0" applyBorder="1">
      <alignment vertical="center"/>
    </xf>
    <xf numFmtId="0" fontId="0" fillId="0" borderId="21" xfId="0" applyBorder="1">
      <alignment vertical="center"/>
    </xf>
    <xf numFmtId="0" fontId="0" fillId="0" borderId="22" xfId="0" applyBorder="1">
      <alignment vertical="center"/>
    </xf>
    <xf numFmtId="0" fontId="22" fillId="11" borderId="11" xfId="0" applyFont="1" applyFill="1" applyBorder="1" applyAlignment="1">
      <alignment horizontal="center" vertical="center" shrinkToFit="1"/>
    </xf>
    <xf numFmtId="10" fontId="24" fillId="0" borderId="11" xfId="0" applyNumberFormat="1" applyFont="1" applyBorder="1">
      <alignment vertical="center"/>
    </xf>
    <xf numFmtId="185" fontId="24" fillId="0" borderId="11" xfId="0" applyNumberFormat="1" applyFont="1" applyBorder="1">
      <alignment vertical="center"/>
    </xf>
    <xf numFmtId="185" fontId="24" fillId="0" borderId="12" xfId="0" applyNumberFormat="1" applyFont="1" applyBorder="1">
      <alignment vertical="center"/>
    </xf>
    <xf numFmtId="0" fontId="0" fillId="0" borderId="23" xfId="0" applyBorder="1">
      <alignment vertical="center"/>
    </xf>
    <xf numFmtId="187" fontId="0" fillId="12" borderId="10" xfId="0" applyNumberFormat="1" applyFill="1" applyBorder="1">
      <alignment vertical="center"/>
    </xf>
    <xf numFmtId="0" fontId="0" fillId="0" borderId="12" xfId="0" applyBorder="1">
      <alignment vertical="center"/>
    </xf>
    <xf numFmtId="0" fontId="0" fillId="0" borderId="10" xfId="0" applyBorder="1">
      <alignment vertical="center"/>
    </xf>
    <xf numFmtId="0" fontId="0" fillId="0" borderId="11" xfId="0" applyBorder="1">
      <alignment vertical="center"/>
    </xf>
    <xf numFmtId="0" fontId="0" fillId="0" borderId="24" xfId="0" applyBorder="1">
      <alignment vertical="center"/>
    </xf>
    <xf numFmtId="0" fontId="0" fillId="0" borderId="25" xfId="0" applyBorder="1">
      <alignment vertical="center"/>
    </xf>
    <xf numFmtId="187" fontId="0" fillId="0" borderId="0" xfId="0" applyNumberFormat="1">
      <alignment vertical="center"/>
    </xf>
    <xf numFmtId="185" fontId="0" fillId="10" borderId="2" xfId="0" applyNumberFormat="1" applyFill="1" applyBorder="1" applyAlignment="1">
      <alignment vertical="center" wrapText="1"/>
    </xf>
    <xf numFmtId="0" fontId="0" fillId="10" borderId="3" xfId="0" applyFill="1" applyBorder="1" applyAlignment="1">
      <alignment horizontal="center" vertical="center"/>
    </xf>
    <xf numFmtId="185" fontId="0" fillId="0" borderId="4" xfId="0" applyNumberFormat="1" applyBorder="1">
      <alignment vertical="center"/>
    </xf>
    <xf numFmtId="185" fontId="0" fillId="0" borderId="5" xfId="0" applyNumberFormat="1" applyBorder="1">
      <alignment vertical="center"/>
    </xf>
    <xf numFmtId="185" fontId="0" fillId="0" borderId="0" xfId="0" applyNumberFormat="1">
      <alignment vertical="center"/>
    </xf>
    <xf numFmtId="185" fontId="0" fillId="10" borderId="2" xfId="0" applyNumberFormat="1" applyFill="1" applyBorder="1">
      <alignment vertical="center"/>
    </xf>
    <xf numFmtId="0" fontId="0" fillId="10" borderId="8" xfId="0" applyFill="1" applyBorder="1" applyAlignment="1">
      <alignment horizontal="center" vertical="center"/>
    </xf>
    <xf numFmtId="185" fontId="0" fillId="0" borderId="2" xfId="0" applyNumberFormat="1" applyBorder="1">
      <alignment vertical="center"/>
    </xf>
    <xf numFmtId="185" fontId="0" fillId="0" borderId="9" xfId="0" applyNumberFormat="1" applyBorder="1">
      <alignment vertical="center"/>
    </xf>
    <xf numFmtId="0" fontId="0" fillId="10" borderId="2" xfId="0" applyFill="1" applyBorder="1">
      <alignment vertical="center"/>
    </xf>
    <xf numFmtId="0" fontId="0" fillId="10" borderId="10" xfId="0" applyFill="1" applyBorder="1" applyAlignment="1">
      <alignment horizontal="center" vertical="center"/>
    </xf>
    <xf numFmtId="188" fontId="0" fillId="0" borderId="11" xfId="0" applyNumberFormat="1" applyBorder="1">
      <alignment vertical="center"/>
    </xf>
    <xf numFmtId="188" fontId="0" fillId="0" borderId="12" xfId="0" applyNumberFormat="1" applyBorder="1">
      <alignment vertical="center"/>
    </xf>
    <xf numFmtId="188" fontId="0" fillId="0" borderId="0" xfId="0" applyNumberFormat="1">
      <alignment vertical="center"/>
    </xf>
    <xf numFmtId="0" fontId="0" fillId="0" borderId="0" xfId="0" applyAlignment="1">
      <alignment horizontal="center" vertical="center"/>
    </xf>
    <xf numFmtId="0" fontId="0" fillId="10" borderId="2" xfId="0" applyFill="1" applyBorder="1" applyAlignment="1">
      <alignment horizontal="center" vertical="center"/>
    </xf>
    <xf numFmtId="185" fontId="0" fillId="0" borderId="2" xfId="0" applyNumberFormat="1" applyBorder="1" applyAlignment="1">
      <alignment horizontal="center" vertical="center"/>
    </xf>
    <xf numFmtId="0" fontId="0" fillId="0" borderId="0" xfId="0" applyAlignment="1">
      <alignment horizontal="right" vertical="center"/>
    </xf>
    <xf numFmtId="189" fontId="0" fillId="0" borderId="0" xfId="0" applyNumberFormat="1" applyAlignment="1">
      <alignment horizontal="right" vertical="center"/>
    </xf>
    <xf numFmtId="189" fontId="0" fillId="0" borderId="0" xfId="0" applyNumberFormat="1" applyAlignment="1">
      <alignment horizontal="left" vertical="center"/>
    </xf>
    <xf numFmtId="189" fontId="0" fillId="5" borderId="0" xfId="0" applyNumberFormat="1" applyFill="1" applyAlignment="1">
      <alignment horizontal="left" vertical="center"/>
    </xf>
    <xf numFmtId="189" fontId="0" fillId="0" borderId="2" xfId="0" applyNumberFormat="1" applyBorder="1" applyAlignment="1">
      <alignment horizontal="right" vertical="center"/>
    </xf>
    <xf numFmtId="0" fontId="23" fillId="0" borderId="0" xfId="0" applyFont="1">
      <alignment vertical="center"/>
    </xf>
    <xf numFmtId="0" fontId="25" fillId="0" borderId="0" xfId="0" applyFont="1" applyAlignment="1">
      <alignment horizontal="center" vertical="center"/>
    </xf>
    <xf numFmtId="0" fontId="23" fillId="0" borderId="0" xfId="0" applyFont="1" applyAlignment="1">
      <alignment vertical="center" wrapText="1"/>
    </xf>
    <xf numFmtId="190" fontId="23" fillId="0" borderId="0" xfId="0" applyNumberFormat="1" applyFont="1" applyAlignment="1">
      <alignment horizontal="left" vertical="center"/>
    </xf>
    <xf numFmtId="0" fontId="23" fillId="13" borderId="2" xfId="0" applyFont="1" applyFill="1" applyBorder="1" applyAlignment="1">
      <alignment horizontal="center" vertical="center"/>
    </xf>
    <xf numFmtId="0" fontId="23" fillId="0" borderId="2" xfId="0" applyFont="1" applyBorder="1" applyAlignment="1">
      <alignment horizontal="center" vertical="center"/>
    </xf>
    <xf numFmtId="0" fontId="23" fillId="0" borderId="0" xfId="0" applyFont="1" applyAlignment="1">
      <alignment horizontal="left" vertical="center"/>
    </xf>
    <xf numFmtId="0" fontId="23" fillId="0" borderId="26" xfId="0" applyFont="1" applyBorder="1" applyAlignment="1">
      <alignment horizontal="right" vertical="center"/>
    </xf>
    <xf numFmtId="0" fontId="26" fillId="0" borderId="2" xfId="0" applyFont="1" applyBorder="1" applyAlignment="1">
      <alignment horizontal="center" vertical="center"/>
    </xf>
    <xf numFmtId="0" fontId="23" fillId="0" borderId="0" xfId="0" applyFont="1" applyAlignment="1">
      <alignment horizontal="right" vertical="center"/>
    </xf>
    <xf numFmtId="0" fontId="23" fillId="0" borderId="2" xfId="0" applyFont="1" applyBorder="1" applyAlignment="1">
      <alignment horizontal="center" vertical="center" wrapText="1"/>
    </xf>
    <xf numFmtId="189" fontId="23" fillId="0" borderId="26" xfId="0" applyNumberFormat="1" applyFont="1" applyBorder="1">
      <alignment vertical="center"/>
    </xf>
    <xf numFmtId="189" fontId="23" fillId="0" borderId="0" xfId="0" applyNumberFormat="1" applyFont="1">
      <alignment vertical="center"/>
    </xf>
    <xf numFmtId="189" fontId="23" fillId="13" borderId="2" xfId="0" applyNumberFormat="1" applyFont="1" applyFill="1" applyBorder="1" applyAlignment="1">
      <alignment horizontal="center" vertical="center"/>
    </xf>
    <xf numFmtId="0" fontId="23" fillId="0" borderId="2" xfId="0" applyFont="1" applyBorder="1">
      <alignment vertical="center"/>
    </xf>
    <xf numFmtId="0" fontId="23" fillId="0" borderId="2" xfId="0" applyFont="1" applyBorder="1" applyAlignment="1">
      <alignment vertical="center" wrapText="1"/>
    </xf>
    <xf numFmtId="189" fontId="23" fillId="0" borderId="0" xfId="0" applyNumberFormat="1" applyFont="1" applyAlignment="1">
      <alignment horizontal="left" vertical="center"/>
    </xf>
    <xf numFmtId="189" fontId="23" fillId="5" borderId="26" xfId="0" applyNumberFormat="1" applyFont="1" applyFill="1" applyBorder="1" applyAlignment="1">
      <alignment horizontal="left" vertical="center"/>
    </xf>
    <xf numFmtId="189" fontId="23" fillId="0" borderId="2" xfId="0" applyNumberFormat="1" applyFont="1" applyBorder="1">
      <alignment vertical="center"/>
    </xf>
    <xf numFmtId="0" fontId="0" fillId="0" borderId="7" xfId="0" applyBorder="1">
      <alignment vertical="center"/>
    </xf>
    <xf numFmtId="0" fontId="0" fillId="0" borderId="0" xfId="0" applyAlignment="1">
      <alignment vertical="center" wrapText="1"/>
    </xf>
    <xf numFmtId="0" fontId="23" fillId="0" borderId="26" xfId="0" applyFont="1" applyBorder="1" applyAlignment="1">
      <alignment horizontal="right" vertical="center" wrapText="1"/>
    </xf>
    <xf numFmtId="0" fontId="23" fillId="0" borderId="0" xfId="0" applyFont="1" applyAlignment="1">
      <alignment horizontal="right" vertical="center" wrapText="1"/>
    </xf>
  </cellXfs>
  <cellStyles count="1">
    <cellStyle name="標準" xfId="0" builtinId="0"/>
  </cellStyles>
  <dxfs count="51">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ont>
        <color rgb="FF000000"/>
      </font>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ont>
        <color rgb="FF000000"/>
      </font>
      <fill>
        <patternFill patternType="solid">
          <bgColor rgb="FFFFC7CE"/>
        </patternFill>
      </fill>
    </dxf>
    <dxf>
      <font>
        <color rgb="FF000000"/>
      </font>
      <fill>
        <patternFill patternType="solid">
          <bgColor rgb="FFFFC7CE"/>
        </patternFill>
      </fill>
    </dxf>
    <dxf>
      <fill>
        <patternFill patternType="solid">
          <bgColor rgb="FFFFC7CE"/>
        </patternFill>
      </fill>
    </dxf>
    <dxf>
      <fill>
        <patternFill patternType="solid">
          <bgColor rgb="FFFFC7CE"/>
        </patternFill>
      </fill>
    </dxf>
    <dxf>
      <font>
        <color rgb="FF000000"/>
      </font>
      <fill>
        <patternFill patternType="solid">
          <bgColor rgb="FFFFC7CE"/>
        </patternFill>
      </fill>
    </dxf>
    <dxf>
      <font>
        <color rgb="FF000000"/>
      </font>
      <fill>
        <patternFill patternType="solid">
          <bgColor rgb="FFFFC7CE"/>
        </patternFill>
      </fill>
    </dxf>
    <dxf>
      <fill>
        <patternFill patternType="solid">
          <bgColor rgb="FFFFC7CE"/>
        </patternFill>
      </fill>
    </dxf>
    <dxf>
      <fill>
        <patternFill patternType="solid">
          <bgColor rgb="FFFFC7CE"/>
        </patternFill>
      </fill>
    </dxf>
    <dxf>
      <font>
        <color rgb="FF000000"/>
      </font>
      <fill>
        <patternFill patternType="solid">
          <bgColor rgb="FFFFC7CE"/>
        </patternFill>
      </fill>
    </dxf>
    <dxf>
      <font>
        <color rgb="FF000000"/>
      </font>
      <fill>
        <patternFill patternType="solid">
          <bgColor rgb="FFFFC7CE"/>
        </patternFill>
      </fill>
    </dxf>
    <dxf>
      <fill>
        <patternFill patternType="solid">
          <bgColor rgb="FFFFC7CE"/>
        </patternFill>
      </fill>
    </dxf>
    <dxf>
      <fill>
        <patternFill patternType="solid">
          <bgColor rgb="FFFFC7CE"/>
        </patternFill>
      </fill>
    </dxf>
    <dxf>
      <font>
        <color rgb="FF000000"/>
      </font>
      <fill>
        <patternFill patternType="solid">
          <bgColor rgb="FFFFC7CE"/>
        </patternFill>
      </fill>
    </dxf>
    <dxf>
      <font>
        <color rgb="FF000000"/>
      </font>
      <fill>
        <patternFill patternType="solid">
          <bgColor rgb="FFFFC7CE"/>
        </patternFill>
      </fill>
    </dxf>
    <dxf>
      <font>
        <strike/>
      </font>
      <fill>
        <patternFill patternType="solid">
          <bgColor theme="0" tint="-0.2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D9D9D9"/>
      <rgbColor rgb="00660066"/>
      <rgbColor rgb="00FF8080"/>
      <rgbColor rgb="000066CC"/>
      <rgbColor rgb="00C6D9F1"/>
      <rgbColor rgb="00000080"/>
      <rgbColor rgb="00FF00FF"/>
      <rgbColor rgb="00FFFF00"/>
      <rgbColor rgb="0000FFFF"/>
      <rgbColor rgb="00800080"/>
      <rgbColor rgb="00800000"/>
      <rgbColor rgb="00008080"/>
      <rgbColor rgb="000000FF"/>
      <rgbColor rgb="0000CCFF"/>
      <rgbColor rgb="00CCFFFF"/>
      <rgbColor rgb="00CCFFCC"/>
      <rgbColor rgb="00FFFF99"/>
      <rgbColor rgb="0066FFFF"/>
      <rgbColor rgb="00FF99CC"/>
      <rgbColor rgb="00CC99FF"/>
      <rgbColor rgb="00FFC7CE"/>
      <rgbColor rgb="003366FF"/>
      <rgbColor rgb="0033CCCC"/>
      <rgbColor rgb="0099CC00"/>
      <rgbColor rgb="00FFC000"/>
      <rgbColor rgb="00FF9900"/>
      <rgbColor rgb="00FF6600"/>
      <rgbColor rgb="00558ED5"/>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99FF"/>
      <color rgb="FFFE66E5"/>
      <color rgb="FFFF0066"/>
      <color rgb="FF00FF4A"/>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png" /><Relationship Id="rId4" Type="http://schemas.openxmlformats.org/officeDocument/2006/relationships/image" Target="../media/image4.png" /></Relationships>
</file>

<file path=xl/drawings/_rels/drawing2.xml.rels><?xml version="1.0" encoding="UTF-8"?><Relationships xmlns="http://schemas.openxmlformats.org/package/2006/relationships"><Relationship Id="rId1" Type="http://schemas.openxmlformats.org/officeDocument/2006/relationships/image" Target="../media/image5.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64770</xdr:rowOff>
    </xdr:from>
    <xdr:to xmlns:xdr="http://schemas.openxmlformats.org/drawingml/2006/spreadsheetDrawing">
      <xdr:col>12</xdr:col>
      <xdr:colOff>245745</xdr:colOff>
      <xdr:row>16</xdr:row>
      <xdr:rowOff>137160</xdr:rowOff>
    </xdr:to>
    <xdr:pic macro="">
      <xdr:nvPicPr>
        <xdr:cNvPr id="2081" name="図 33"/>
        <xdr:cNvPicPr>
          <a:picLocks noChangeAspect="1"/>
        </xdr:cNvPicPr>
      </xdr:nvPicPr>
      <xdr:blipFill>
        <a:blip xmlns:r="http://schemas.openxmlformats.org/officeDocument/2006/relationships" r:embed="rId1"/>
        <a:stretch>
          <a:fillRect/>
        </a:stretch>
      </xdr:blipFill>
      <xdr:spPr>
        <a:xfrm>
          <a:off x="0" y="64770"/>
          <a:ext cx="7240905" cy="2815590"/>
        </a:xfrm>
        <a:prstGeom prst="rect">
          <a:avLst/>
        </a:prstGeom>
        <a:noFill/>
        <a:ln>
          <a:noFill/>
        </a:ln>
      </xdr:spPr>
    </xdr:pic>
    <xdr:clientData/>
  </xdr:twoCellAnchor>
  <xdr:twoCellAnchor>
    <xdr:from xmlns:xdr="http://schemas.openxmlformats.org/drawingml/2006/spreadsheetDrawing">
      <xdr:col>1</xdr:col>
      <xdr:colOff>386080</xdr:colOff>
      <xdr:row>8</xdr:row>
      <xdr:rowOff>111760</xdr:rowOff>
    </xdr:from>
    <xdr:to xmlns:xdr="http://schemas.openxmlformats.org/drawingml/2006/spreadsheetDrawing">
      <xdr:col>2</xdr:col>
      <xdr:colOff>530225</xdr:colOff>
      <xdr:row>16</xdr:row>
      <xdr:rowOff>73025</xdr:rowOff>
    </xdr:to>
    <xdr:sp macro="" textlink="">
      <xdr:nvSpPr>
        <xdr:cNvPr id="2050" name="正方形/長方形 2"/>
        <xdr:cNvSpPr/>
      </xdr:nvSpPr>
      <xdr:spPr>
        <a:xfrm>
          <a:off x="969010" y="1483360"/>
          <a:ext cx="727075" cy="1332865"/>
        </a:xfrm>
        <a:prstGeom prst="rect">
          <a:avLst/>
        </a:prstGeom>
        <a:noFill/>
        <a:ln w="38100">
          <a:solidFill>
            <a:srgbClr val="FF0000"/>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a:lstStyle/>
        <a:p>
          <a:endParaRPr kumimoji="1" lang="ja-JP" altLang="en-US"/>
        </a:p>
      </xdr:txBody>
    </xdr:sp>
    <xdr:clientData/>
  </xdr:twoCellAnchor>
  <xdr:twoCellAnchor>
    <xdr:from xmlns:xdr="http://schemas.openxmlformats.org/drawingml/2006/spreadsheetDrawing">
      <xdr:col>9</xdr:col>
      <xdr:colOff>36830</xdr:colOff>
      <xdr:row>8</xdr:row>
      <xdr:rowOff>102870</xdr:rowOff>
    </xdr:from>
    <xdr:to xmlns:xdr="http://schemas.openxmlformats.org/drawingml/2006/spreadsheetDrawing">
      <xdr:col>10</xdr:col>
      <xdr:colOff>106045</xdr:colOff>
      <xdr:row>16</xdr:row>
      <xdr:rowOff>71755</xdr:rowOff>
    </xdr:to>
    <xdr:sp macro="" textlink="">
      <xdr:nvSpPr>
        <xdr:cNvPr id="2051" name="正方形/長方形 3"/>
        <xdr:cNvSpPr/>
      </xdr:nvSpPr>
      <xdr:spPr>
        <a:xfrm>
          <a:off x="5283200" y="1474470"/>
          <a:ext cx="652145" cy="1340485"/>
        </a:xfrm>
        <a:prstGeom prst="rect">
          <a:avLst/>
        </a:prstGeom>
        <a:noFill/>
        <a:ln w="38100">
          <a:solidFill>
            <a:srgbClr val="FF0000"/>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490220</xdr:colOff>
      <xdr:row>8</xdr:row>
      <xdr:rowOff>103505</xdr:rowOff>
    </xdr:from>
    <xdr:to xmlns:xdr="http://schemas.openxmlformats.org/drawingml/2006/spreadsheetDrawing">
      <xdr:col>7</xdr:col>
      <xdr:colOff>565785</xdr:colOff>
      <xdr:row>16</xdr:row>
      <xdr:rowOff>71755</xdr:rowOff>
    </xdr:to>
    <xdr:sp macro="" textlink="">
      <xdr:nvSpPr>
        <xdr:cNvPr id="2052" name="正方形/長方形 4"/>
        <xdr:cNvSpPr/>
      </xdr:nvSpPr>
      <xdr:spPr>
        <a:xfrm>
          <a:off x="3987800" y="1475105"/>
          <a:ext cx="658495" cy="1339850"/>
        </a:xfrm>
        <a:prstGeom prst="rect">
          <a:avLst/>
        </a:prstGeom>
        <a:noFill/>
        <a:ln w="38100">
          <a:solidFill>
            <a:srgbClr val="FF0000"/>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a:lstStyle/>
        <a:p>
          <a:endParaRPr kumimoji="1" lang="ja-JP" altLang="en-US"/>
        </a:p>
      </xdr:txBody>
    </xdr:sp>
    <xdr:clientData/>
  </xdr:twoCellAnchor>
  <xdr:twoCellAnchor>
    <xdr:from xmlns:xdr="http://schemas.openxmlformats.org/drawingml/2006/spreadsheetDrawing">
      <xdr:col>4</xdr:col>
      <xdr:colOff>368300</xdr:colOff>
      <xdr:row>8</xdr:row>
      <xdr:rowOff>105410</xdr:rowOff>
    </xdr:from>
    <xdr:to xmlns:xdr="http://schemas.openxmlformats.org/drawingml/2006/spreadsheetDrawing">
      <xdr:col>5</xdr:col>
      <xdr:colOff>458470</xdr:colOff>
      <xdr:row>16</xdr:row>
      <xdr:rowOff>83185</xdr:rowOff>
    </xdr:to>
    <xdr:sp macro="" textlink="">
      <xdr:nvSpPr>
        <xdr:cNvPr id="2053" name="正方形/長方形 5"/>
        <xdr:cNvSpPr/>
      </xdr:nvSpPr>
      <xdr:spPr>
        <a:xfrm>
          <a:off x="2700020" y="1477010"/>
          <a:ext cx="673100" cy="1349375"/>
        </a:xfrm>
        <a:prstGeom prst="rect">
          <a:avLst/>
        </a:prstGeom>
        <a:noFill/>
        <a:ln w="38100">
          <a:solidFill>
            <a:srgbClr val="FF0000"/>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a:lstStyle/>
        <a:p>
          <a:endParaRPr kumimoji="1" lang="ja-JP" altLang="en-US"/>
        </a:p>
      </xdr:txBody>
    </xdr:sp>
    <xdr:clientData/>
  </xdr:twoCellAnchor>
  <xdr:twoCellAnchor>
    <xdr:from xmlns:xdr="http://schemas.openxmlformats.org/drawingml/2006/spreadsheetDrawing">
      <xdr:col>4</xdr:col>
      <xdr:colOff>392430</xdr:colOff>
      <xdr:row>7</xdr:row>
      <xdr:rowOff>6350</xdr:rowOff>
    </xdr:from>
    <xdr:to xmlns:xdr="http://schemas.openxmlformats.org/drawingml/2006/spreadsheetDrawing">
      <xdr:col>10</xdr:col>
      <xdr:colOff>104140</xdr:colOff>
      <xdr:row>8</xdr:row>
      <xdr:rowOff>22225</xdr:rowOff>
    </xdr:to>
    <xdr:sp macro="" textlink="">
      <xdr:nvSpPr>
        <xdr:cNvPr id="2054" name="正方形/長方形 6"/>
        <xdr:cNvSpPr/>
      </xdr:nvSpPr>
      <xdr:spPr>
        <a:xfrm>
          <a:off x="2724150" y="1206500"/>
          <a:ext cx="3209290" cy="187325"/>
        </a:xfrm>
        <a:prstGeom prst="rect">
          <a:avLst/>
        </a:prstGeom>
        <a:noFill/>
        <a:ln w="38100">
          <a:solidFill>
            <a:srgbClr val="FF0000"/>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a:lstStyle/>
        <a:p>
          <a:endParaRPr kumimoji="1" lang="ja-JP" altLang="en-US"/>
        </a:p>
      </xdr:txBody>
    </xdr:sp>
    <xdr:clientData/>
  </xdr:twoCellAnchor>
  <xdr:twoCellAnchor>
    <xdr:from xmlns:xdr="http://schemas.openxmlformats.org/drawingml/2006/spreadsheetDrawing">
      <xdr:col>10</xdr:col>
      <xdr:colOff>160655</xdr:colOff>
      <xdr:row>6</xdr:row>
      <xdr:rowOff>60960</xdr:rowOff>
    </xdr:from>
    <xdr:to xmlns:xdr="http://schemas.openxmlformats.org/drawingml/2006/spreadsheetDrawing">
      <xdr:col>10</xdr:col>
      <xdr:colOff>527050</xdr:colOff>
      <xdr:row>8</xdr:row>
      <xdr:rowOff>88265</xdr:rowOff>
    </xdr:to>
    <xdr:sp macro="" textlink="">
      <xdr:nvSpPr>
        <xdr:cNvPr id="2055" name="テキスト ボックス 7"/>
        <xdr:cNvSpPr/>
      </xdr:nvSpPr>
      <xdr:spPr>
        <a:xfrm>
          <a:off x="5989955" y="1089660"/>
          <a:ext cx="366395" cy="370205"/>
        </a:xfrm>
        <a:prstGeom prst="rect">
          <a:avLst/>
        </a:prstGeom>
        <a:solidFill>
          <a:srgbClr val="D9D9D9">
            <a:alpha val="60000"/>
          </a:srgbClr>
        </a:solidFill>
        <a:ln w="9525">
          <a:noFill/>
        </a:ln>
      </xdr:spPr>
      <xdr:style>
        <a:lnRef idx="0">
          <a:srgbClr val="000000"/>
        </a:lnRef>
        <a:fillRef idx="0">
          <a:srgbClr val="000000"/>
        </a:fillRef>
        <a:effectRef idx="0">
          <a:srgbClr val="000000"/>
        </a:effectRef>
        <a:fontRef idx="minor"/>
      </xdr:style>
      <xdr:txBody>
        <a:bodyPr vertOverflow="clip" horzOverflow="clip" lIns="90000" tIns="45000" rIns="90000" bIns="45000" anchor="ctr"/>
        <a:lstStyle/>
        <a:p>
          <a:pPr algn="ctr">
            <a:lnSpc>
              <a:spcPct val="100000"/>
            </a:lnSpc>
          </a:pPr>
          <a:r>
            <a:rPr lang="en-US" sz="2000" b="1" strike="noStrike" spc="-1">
              <a:solidFill>
                <a:srgbClr val="FF0000"/>
              </a:solidFill>
              <a:latin typeface="Calibri"/>
            </a:rPr>
            <a:t>①</a:t>
          </a:r>
          <a:endParaRPr lang="en-US" sz="2000" b="0" strike="noStrike" spc="-1">
            <a:latin typeface="游明朝"/>
          </a:endParaRPr>
        </a:p>
      </xdr:txBody>
    </xdr:sp>
    <xdr:clientData/>
  </xdr:twoCellAnchor>
  <xdr:twoCellAnchor>
    <xdr:from xmlns:xdr="http://schemas.openxmlformats.org/drawingml/2006/spreadsheetDrawing">
      <xdr:col>7</xdr:col>
      <xdr:colOff>34290</xdr:colOff>
      <xdr:row>17</xdr:row>
      <xdr:rowOff>123825</xdr:rowOff>
    </xdr:from>
    <xdr:to xmlns:xdr="http://schemas.openxmlformats.org/drawingml/2006/spreadsheetDrawing">
      <xdr:col>7</xdr:col>
      <xdr:colOff>405765</xdr:colOff>
      <xdr:row>19</xdr:row>
      <xdr:rowOff>149860</xdr:rowOff>
    </xdr:to>
    <xdr:sp macro="" textlink="">
      <xdr:nvSpPr>
        <xdr:cNvPr id="2056" name="テキスト ボックス 15"/>
        <xdr:cNvSpPr/>
      </xdr:nvSpPr>
      <xdr:spPr>
        <a:xfrm>
          <a:off x="4114800" y="3038475"/>
          <a:ext cx="371475" cy="368935"/>
        </a:xfrm>
        <a:prstGeom prst="rect">
          <a:avLst/>
        </a:prstGeom>
        <a:solidFill>
          <a:srgbClr val="D9D9D9">
            <a:alpha val="60000"/>
          </a:srgbClr>
        </a:solidFill>
        <a:ln w="9525">
          <a:noFill/>
        </a:ln>
      </xdr:spPr>
      <xdr:style>
        <a:lnRef idx="0">
          <a:srgbClr val="000000"/>
        </a:lnRef>
        <a:fillRef idx="0">
          <a:srgbClr val="000000"/>
        </a:fillRef>
        <a:effectRef idx="0">
          <a:srgbClr val="000000"/>
        </a:effectRef>
        <a:fontRef idx="minor"/>
      </xdr:style>
      <xdr:txBody>
        <a:bodyPr vertOverflow="clip" horzOverflow="clip" lIns="90000" tIns="45000" rIns="90000" bIns="45000" anchor="ctr"/>
        <a:lstStyle/>
        <a:p>
          <a:pPr algn="ctr">
            <a:lnSpc>
              <a:spcPct val="100000"/>
            </a:lnSpc>
          </a:pPr>
          <a:r>
            <a:rPr lang="en-US" sz="2000" b="1" strike="noStrike" spc="-1">
              <a:solidFill>
                <a:srgbClr val="FF0000"/>
              </a:solidFill>
              <a:latin typeface="Calibri"/>
            </a:rPr>
            <a:t>③</a:t>
          </a:r>
          <a:endParaRPr lang="en-US" sz="2000" b="0" strike="noStrike" spc="-1">
            <a:latin typeface="游明朝"/>
          </a:endParaRPr>
        </a:p>
      </xdr:txBody>
    </xdr:sp>
    <xdr:clientData/>
  </xdr:twoCellAnchor>
  <xdr:twoCellAnchor>
    <xdr:from xmlns:xdr="http://schemas.openxmlformats.org/drawingml/2006/spreadsheetDrawing">
      <xdr:col>1</xdr:col>
      <xdr:colOff>558165</xdr:colOff>
      <xdr:row>11</xdr:row>
      <xdr:rowOff>123825</xdr:rowOff>
    </xdr:from>
    <xdr:to xmlns:xdr="http://schemas.openxmlformats.org/drawingml/2006/spreadsheetDrawing">
      <xdr:col>2</xdr:col>
      <xdr:colOff>252730</xdr:colOff>
      <xdr:row>13</xdr:row>
      <xdr:rowOff>149860</xdr:rowOff>
    </xdr:to>
    <xdr:sp macro="" textlink="">
      <xdr:nvSpPr>
        <xdr:cNvPr id="2057" name="テキスト ボックス 16"/>
        <xdr:cNvSpPr/>
      </xdr:nvSpPr>
      <xdr:spPr>
        <a:xfrm>
          <a:off x="1141095" y="2009775"/>
          <a:ext cx="277495" cy="368935"/>
        </a:xfrm>
        <a:prstGeom prst="rect">
          <a:avLst/>
        </a:prstGeom>
        <a:solidFill>
          <a:srgbClr val="D9D9D9">
            <a:alpha val="60000"/>
          </a:srgbClr>
        </a:solidFill>
        <a:ln w="9525">
          <a:noFill/>
        </a:ln>
      </xdr:spPr>
      <xdr:style>
        <a:lnRef idx="0">
          <a:srgbClr val="000000"/>
        </a:lnRef>
        <a:fillRef idx="0">
          <a:srgbClr val="000000"/>
        </a:fillRef>
        <a:effectRef idx="0">
          <a:srgbClr val="000000"/>
        </a:effectRef>
        <a:fontRef idx="minor"/>
      </xdr:style>
      <xdr:txBody>
        <a:bodyPr vertOverflow="clip" horzOverflow="clip" lIns="90000" tIns="45000" rIns="90000" bIns="45000" anchor="ctr"/>
        <a:lstStyle/>
        <a:p>
          <a:pPr algn="ctr">
            <a:lnSpc>
              <a:spcPct val="100000"/>
            </a:lnSpc>
          </a:pPr>
          <a:r>
            <a:rPr lang="en-US" sz="2000" b="1" strike="noStrike" spc="-1">
              <a:solidFill>
                <a:srgbClr val="FF0000"/>
              </a:solidFill>
              <a:latin typeface="Calibri"/>
            </a:rPr>
            <a:t>②</a:t>
          </a:r>
          <a:endParaRPr lang="en-US" sz="2000" b="0" strike="noStrike" spc="-1">
            <a:latin typeface="游明朝"/>
          </a:endParaRPr>
        </a:p>
      </xdr:txBody>
    </xdr:sp>
    <xdr:clientData/>
  </xdr:twoCellAnchor>
  <xdr:twoCellAnchor>
    <xdr:from xmlns:xdr="http://schemas.openxmlformats.org/drawingml/2006/spreadsheetDrawing">
      <xdr:col>4</xdr:col>
      <xdr:colOff>346710</xdr:colOff>
      <xdr:row>16</xdr:row>
      <xdr:rowOff>137795</xdr:rowOff>
    </xdr:from>
    <xdr:to xmlns:xdr="http://schemas.openxmlformats.org/drawingml/2006/spreadsheetDrawing">
      <xdr:col>10</xdr:col>
      <xdr:colOff>83185</xdr:colOff>
      <xdr:row>17</xdr:row>
      <xdr:rowOff>125095</xdr:rowOff>
    </xdr:to>
    <xdr:sp macro="" textlink="">
      <xdr:nvSpPr>
        <xdr:cNvPr id="2058" name="左中かっこ 18"/>
        <xdr:cNvSpPr/>
      </xdr:nvSpPr>
      <xdr:spPr>
        <a:xfrm rot="16200000">
          <a:off x="2678430" y="2880995"/>
          <a:ext cx="3234055" cy="158750"/>
        </a:xfrm>
        <a:prstGeom prst="leftBrace">
          <a:avLst>
            <a:gd name="adj1" fmla="val 57408"/>
            <a:gd name="adj2" fmla="val 50000"/>
          </a:avLst>
        </a:prstGeom>
        <a:noFill/>
        <a:ln w="25400">
          <a:solidFill>
            <a:srgbClr val="000000"/>
          </a:solidFill>
          <a:round/>
        </a:ln>
      </xdr:spPr>
      <xdr:style>
        <a:lnRef idx="1">
          <a:schemeClr val="accent1"/>
        </a:lnRef>
        <a:fillRef idx="0">
          <a:schemeClr val="accent1"/>
        </a:fillRef>
        <a:effectRef idx="0">
          <a:schemeClr val="accent1"/>
        </a:effectRef>
        <a:fontRef idx="minor"/>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53340</xdr:colOff>
      <xdr:row>20</xdr:row>
      <xdr:rowOff>92075</xdr:rowOff>
    </xdr:from>
    <xdr:to xmlns:xdr="http://schemas.openxmlformats.org/drawingml/2006/spreadsheetDrawing">
      <xdr:col>12</xdr:col>
      <xdr:colOff>201295</xdr:colOff>
      <xdr:row>51</xdr:row>
      <xdr:rowOff>76835</xdr:rowOff>
    </xdr:to>
    <xdr:sp macro="" textlink="">
      <xdr:nvSpPr>
        <xdr:cNvPr id="2059" name="テキスト ボックス 19"/>
        <xdr:cNvSpPr/>
      </xdr:nvSpPr>
      <xdr:spPr>
        <a:xfrm>
          <a:off x="53340" y="3521075"/>
          <a:ext cx="7143115" cy="5299710"/>
        </a:xfrm>
        <a:prstGeom prst="rect">
          <a:avLst/>
        </a:prstGeom>
        <a:solidFill>
          <a:srgbClr val="FFFFFF"/>
        </a:solidFill>
        <a:ln w="9525">
          <a:solidFill>
            <a:srgbClr val="FFFFFF">
              <a:shade val="50000"/>
            </a:srgbClr>
          </a:solidFill>
          <a:round/>
        </a:ln>
      </xdr:spPr>
      <xdr:style>
        <a:lnRef idx="0">
          <a:srgbClr val="000000"/>
        </a:lnRef>
        <a:fillRef idx="0">
          <a:srgbClr val="000000"/>
        </a:fillRef>
        <a:effectRef idx="0">
          <a:srgbClr val="000000"/>
        </a:effectRef>
        <a:fontRef idx="minor"/>
      </xdr:style>
      <xdr:txBody>
        <a:bodyPr vertOverflow="clip" horzOverflow="clip" lIns="90000" tIns="45000" rIns="90000" bIns="45000" anchor="t"/>
        <a:lstStyle/>
        <a:p>
          <a:pPr>
            <a:lnSpc>
              <a:spcPct val="100000"/>
            </a:lnSpc>
          </a:pPr>
          <a:r>
            <a:rPr lang="ja-JP" sz="1800" b="0" strike="noStrike" spc="-1">
              <a:solidFill>
                <a:schemeClr val="dk1"/>
              </a:solidFill>
              <a:latin typeface="HG丸ｺﾞｼｯｸM-PRO"/>
              <a:ea typeface="HG丸ｺﾞｼｯｸM-PRO"/>
            </a:rPr>
            <a:t>【使い方】</a:t>
          </a:r>
          <a:endParaRPr lang="en-US" sz="1800" b="0" strike="noStrike" spc="-1">
            <a:latin typeface="游明朝"/>
          </a:endParaRPr>
        </a:p>
        <a:p>
          <a:pPr>
            <a:lnSpc>
              <a:spcPct val="100000"/>
            </a:lnSpc>
          </a:pPr>
          <a:r>
            <a:rPr lang="en-US" sz="1600" b="0" strike="noStrike" spc="-1">
              <a:solidFill>
                <a:schemeClr val="dk1"/>
              </a:solidFill>
              <a:latin typeface="HG丸ｺﾞｼｯｸM-PRO"/>
              <a:ea typeface="HG丸ｺﾞｼｯｸM-PRO"/>
            </a:rPr>
            <a:t>①</a:t>
          </a:r>
          <a:r>
            <a:rPr lang="ja-JP" sz="1600" b="0" strike="noStrike" spc="-1">
              <a:solidFill>
                <a:schemeClr val="dk1"/>
              </a:solidFill>
              <a:latin typeface="HG丸ｺﾞｼｯｸM-PRO"/>
              <a:ea typeface="HG丸ｺﾞｼｯｸM-PRO"/>
            </a:rPr>
            <a:t>世帯主の国民健康保険への加入の有無を選択</a:t>
          </a:r>
          <a:endParaRPr lang="en-US" sz="1600" b="0" strike="noStrike" spc="-1">
            <a:latin typeface="游明朝"/>
          </a:endParaRPr>
        </a:p>
        <a:p>
          <a:pPr>
            <a:lnSpc>
              <a:spcPct val="100000"/>
            </a:lnSpc>
          </a:pPr>
          <a:r>
            <a:rPr lang="en-US" sz="1600" b="0" strike="noStrike" spc="-1">
              <a:solidFill>
                <a:schemeClr val="dk1"/>
              </a:solidFill>
              <a:latin typeface="HG丸ｺﾞｼｯｸM-PRO"/>
              <a:ea typeface="HG丸ｺﾞｼｯｸM-PRO"/>
            </a:rPr>
            <a:t>②</a:t>
          </a:r>
          <a:r>
            <a:rPr lang="ja-JP" sz="1600" b="0" strike="noStrike" spc="-1">
              <a:solidFill>
                <a:schemeClr val="dk1"/>
              </a:solidFill>
              <a:latin typeface="HG丸ｺﾞｼｯｸM-PRO"/>
              <a:ea typeface="HG丸ｺﾞｼｯｸM-PRO"/>
            </a:rPr>
            <a:t>世帯主、国民健康保険に加入する人の生年月日を入力</a:t>
          </a:r>
          <a:endParaRPr lang="en-US" sz="1600" b="0" strike="noStrike" spc="-1">
            <a:latin typeface="游明朝"/>
          </a:endParaRPr>
        </a:p>
        <a:p>
          <a:pPr>
            <a:lnSpc>
              <a:spcPct val="100000"/>
            </a:lnSpc>
          </a:pPr>
          <a:r>
            <a:rPr lang="en-US" sz="1600" b="0" strike="noStrike" spc="-1">
              <a:solidFill>
                <a:schemeClr val="dk1"/>
              </a:solidFill>
              <a:latin typeface="HG丸ｺﾞｼｯｸM-PRO"/>
              <a:ea typeface="HG丸ｺﾞｼｯｸM-PRO"/>
            </a:rPr>
            <a:t>③</a:t>
          </a:r>
          <a:r>
            <a:rPr lang="ja-JP" sz="1600" b="0" strike="noStrike" spc="-1">
              <a:solidFill>
                <a:schemeClr val="dk1"/>
              </a:solidFill>
              <a:latin typeface="HG丸ｺﾞｼｯｸM-PRO"/>
              <a:ea typeface="HG丸ｺﾞｼｯｸM-PRO"/>
            </a:rPr>
            <a:t>世帯主、国民健康保険に加入する人の</a:t>
          </a:r>
          <a:r>
            <a:rPr lang="ja-JP" sz="1600" b="0" strike="noStrike" spc="-1">
              <a:solidFill>
                <a:srgbClr val="FF0000"/>
              </a:solidFill>
              <a:latin typeface="HG丸ｺﾞｼｯｸM-PRO"/>
              <a:ea typeface="HG丸ｺﾞｼｯｸM-PRO"/>
            </a:rPr>
            <a:t>令和</a:t>
          </a:r>
          <a:r>
            <a:rPr lang="en-US" sz="1600" b="0" strike="noStrike" spc="-1">
              <a:solidFill>
                <a:srgbClr val="FF0000"/>
              </a:solidFill>
              <a:latin typeface="HG丸ｺﾞｼｯｸM-PRO"/>
              <a:ea typeface="HG丸ｺﾞｼｯｸM-PRO"/>
            </a:rPr>
            <a:t>7</a:t>
          </a:r>
          <a:r>
            <a:rPr lang="ja-JP" sz="1600" b="0" strike="noStrike" spc="-1">
              <a:solidFill>
                <a:srgbClr val="FF0000"/>
              </a:solidFill>
              <a:latin typeface="HG丸ｺﾞｼｯｸM-PRO"/>
              <a:ea typeface="HG丸ｺﾞｼｯｸM-PRO"/>
            </a:rPr>
            <a:t>年中</a:t>
          </a:r>
          <a:r>
            <a:rPr lang="ja-JP" sz="1600" b="0" strike="noStrike" spc="-1">
              <a:solidFill>
                <a:schemeClr val="dk1"/>
              </a:solidFill>
              <a:latin typeface="HG丸ｺﾞｼｯｸM-PRO"/>
              <a:ea typeface="HG丸ｺﾞｼｯｸM-PRO"/>
            </a:rPr>
            <a:t>の収入・所得を入力</a:t>
          </a:r>
          <a:endParaRPr lang="en-US" sz="1600" b="0" strike="noStrike" spc="-1">
            <a:latin typeface="游明朝"/>
          </a:endParaRPr>
        </a:p>
        <a:p>
          <a:pPr>
            <a:lnSpc>
              <a:spcPct val="100000"/>
            </a:lnSpc>
          </a:pPr>
          <a:endParaRPr lang="en-US" sz="1200" b="0" strike="noStrike" spc="-1">
            <a:latin typeface="游明朝"/>
          </a:endParaRPr>
        </a:p>
        <a:p>
          <a:pPr defTabSz="914400">
            <a:lnSpc>
              <a:spcPct val="100000"/>
            </a:lnSpc>
            <a:tabLst>
              <a:tab pos="0" algn="l"/>
            </a:tabLst>
          </a:pPr>
          <a:r>
            <a:rPr lang="ja-JP" sz="1400" b="0" strike="noStrike" spc="-1">
              <a:solidFill>
                <a:schemeClr val="dk1"/>
              </a:solidFill>
              <a:latin typeface="HG丸ｺﾞｼｯｸM-PRO"/>
              <a:ea typeface="HG丸ｺﾞｼｯｸM-PRO"/>
            </a:rPr>
            <a:t>【入力項目の説明】</a:t>
          </a:r>
          <a:endParaRPr lang="en-US" sz="1400" b="0" strike="noStrike" spc="-1">
            <a:latin typeface="游明朝"/>
          </a:endParaRPr>
        </a:p>
        <a:p>
          <a:pPr defTabSz="914400">
            <a:lnSpc>
              <a:spcPct val="100000"/>
            </a:lnSpc>
            <a:tabLst>
              <a:tab pos="0" algn="l"/>
            </a:tabLst>
          </a:pPr>
          <a:r>
            <a:rPr lang="ja-JP" sz="1200" b="0" u="sng" strike="noStrike" spc="-1">
              <a:solidFill>
                <a:schemeClr val="dk1"/>
              </a:solidFill>
              <a:uFillTx/>
              <a:latin typeface="HG丸ｺﾞｼｯｸM-PRO"/>
              <a:ea typeface="HG丸ｺﾞｼｯｸM-PRO"/>
            </a:rPr>
            <a:t>〇給与収入</a:t>
          </a:r>
          <a:endParaRPr lang="en-US" sz="1200" b="0" strike="noStrike" spc="-1">
            <a:latin typeface="游明朝"/>
          </a:endParaRPr>
        </a:p>
        <a:p>
          <a:pPr defTabSz="914400">
            <a:lnSpc>
              <a:spcPct val="100000"/>
            </a:lnSpc>
            <a:tabLst>
              <a:tab pos="0" algn="l"/>
            </a:tabLst>
          </a:pPr>
          <a:r>
            <a:rPr lang="ja-JP" sz="1200" b="0" strike="noStrike" spc="-1">
              <a:solidFill>
                <a:srgbClr val="FF0000"/>
              </a:solidFill>
              <a:latin typeface="HG丸ｺﾞｼｯｸM-PRO"/>
              <a:ea typeface="HG丸ｺﾞｼｯｸM-PRO"/>
            </a:rPr>
            <a:t>令和</a:t>
          </a:r>
          <a:r>
            <a:rPr lang="en-US" sz="1200" b="0" strike="noStrike" spc="-1">
              <a:solidFill>
                <a:srgbClr val="FF0000"/>
              </a:solidFill>
              <a:latin typeface="HG丸ｺﾞｼｯｸM-PRO"/>
              <a:ea typeface="HG丸ｺﾞｼｯｸM-PRO"/>
            </a:rPr>
            <a:t>7</a:t>
          </a:r>
          <a:r>
            <a:rPr lang="ja-JP" sz="1200" b="0" strike="noStrike" spc="-1">
              <a:solidFill>
                <a:srgbClr val="FF0000"/>
              </a:solidFill>
              <a:latin typeface="HG丸ｺﾞｼｯｸM-PRO"/>
              <a:ea typeface="HG丸ｺﾞｼｯｸM-PRO"/>
            </a:rPr>
            <a:t>年</a:t>
          </a:r>
          <a:r>
            <a:rPr lang="en-US" sz="1200" b="0" strike="noStrike" spc="-1">
              <a:solidFill>
                <a:srgbClr val="FF0000"/>
              </a:solidFill>
              <a:latin typeface="HG丸ｺﾞｼｯｸM-PRO"/>
              <a:ea typeface="HG丸ｺﾞｼｯｸM-PRO"/>
            </a:rPr>
            <a:t>1</a:t>
          </a:r>
          <a:r>
            <a:rPr lang="ja-JP" sz="1200" b="0" strike="noStrike" spc="-1">
              <a:solidFill>
                <a:srgbClr val="FF0000"/>
              </a:solidFill>
              <a:latin typeface="HG丸ｺﾞｼｯｸM-PRO"/>
              <a:ea typeface="HG丸ｺﾞｼｯｸM-PRO"/>
            </a:rPr>
            <a:t>月～</a:t>
          </a:r>
          <a:r>
            <a:rPr lang="en-US" sz="1200" b="0" strike="noStrike" spc="-1">
              <a:solidFill>
                <a:srgbClr val="FF0000"/>
              </a:solidFill>
              <a:latin typeface="HG丸ｺﾞｼｯｸM-PRO"/>
              <a:ea typeface="HG丸ｺﾞｼｯｸM-PRO"/>
            </a:rPr>
            <a:t>12</a:t>
          </a:r>
          <a:r>
            <a:rPr lang="ja-JP" sz="1200" b="0" strike="noStrike" spc="-1">
              <a:solidFill>
                <a:srgbClr val="FF0000"/>
              </a:solidFill>
              <a:latin typeface="HG丸ｺﾞｼｯｸM-PRO"/>
              <a:ea typeface="HG丸ｺﾞｼｯｸM-PRO"/>
            </a:rPr>
            <a:t>月</a:t>
          </a:r>
          <a:r>
            <a:rPr lang="ja-JP" sz="1200" b="0" strike="noStrike" spc="-1">
              <a:solidFill>
                <a:schemeClr val="dk1"/>
              </a:solidFill>
              <a:latin typeface="HG丸ｺﾞｼｯｸM-PRO"/>
              <a:ea typeface="HG丸ｺﾞｼｯｸM-PRO"/>
            </a:rPr>
            <a:t>までの給与収入額を入力してください。</a:t>
          </a:r>
          <a:endParaRPr lang="en-US" sz="1200" b="0" strike="noStrike" spc="-1">
            <a:latin typeface="游明朝"/>
          </a:endParaRPr>
        </a:p>
        <a:p>
          <a:pPr defTabSz="914400">
            <a:lnSpc>
              <a:spcPct val="100000"/>
            </a:lnSpc>
            <a:tabLst>
              <a:tab pos="0" algn="l"/>
            </a:tabLst>
          </a:pPr>
          <a:r>
            <a:rPr lang="ja-JP" sz="1200" b="0" strike="noStrike" spc="-1">
              <a:solidFill>
                <a:schemeClr val="dk1"/>
              </a:solidFill>
              <a:latin typeface="HG丸ｺﾞｼｯｸM-PRO"/>
              <a:ea typeface="HG丸ｺﾞｼｯｸM-PRO"/>
            </a:rPr>
            <a:t>確定申告書の控をお持ちの方は、「収入金額等　給与」欄に記載されている金額をご確認ください（資料１）。</a:t>
          </a:r>
          <a:endParaRPr lang="en-US" sz="1200" b="0" strike="noStrike" spc="-1">
            <a:latin typeface="游明朝"/>
          </a:endParaRPr>
        </a:p>
        <a:p>
          <a:pPr defTabSz="914400">
            <a:lnSpc>
              <a:spcPct val="100000"/>
            </a:lnSpc>
            <a:tabLst>
              <a:tab pos="0" algn="l"/>
            </a:tabLst>
          </a:pPr>
          <a:r>
            <a:rPr lang="ja-JP" sz="1200" b="0" strike="noStrike" spc="-1">
              <a:solidFill>
                <a:schemeClr val="dk1"/>
              </a:solidFill>
              <a:latin typeface="HG丸ｺﾞｼｯｸM-PRO"/>
              <a:ea typeface="HG丸ｺﾞｼｯｸM-PRO"/>
            </a:rPr>
            <a:t>給与所得の源泉徴収票をお持ちの方は、「支払金額」欄に記載されている金額をご確認ください（資料２）。</a:t>
          </a:r>
          <a:endParaRPr lang="en-US" sz="1200" b="0" strike="noStrike" spc="-1">
            <a:latin typeface="游明朝"/>
          </a:endParaRPr>
        </a:p>
        <a:p>
          <a:pPr defTabSz="914400">
            <a:lnSpc>
              <a:spcPct val="100000"/>
            </a:lnSpc>
            <a:tabLst>
              <a:tab pos="0" algn="l"/>
            </a:tabLst>
          </a:pPr>
          <a:endParaRPr lang="en-US" sz="1200" b="0" strike="noStrike" spc="-1">
            <a:latin typeface="游明朝"/>
          </a:endParaRPr>
        </a:p>
        <a:p>
          <a:pPr defTabSz="914400">
            <a:lnSpc>
              <a:spcPct val="100000"/>
            </a:lnSpc>
            <a:tabLst>
              <a:tab pos="0" algn="l"/>
            </a:tabLst>
          </a:pPr>
          <a:r>
            <a:rPr lang="ja-JP" sz="1200" b="0" u="sng" strike="noStrike" spc="-1">
              <a:solidFill>
                <a:schemeClr val="dk1"/>
              </a:solidFill>
              <a:uFillTx/>
              <a:latin typeface="HG丸ｺﾞｼｯｸM-PRO"/>
              <a:ea typeface="HG丸ｺﾞｼｯｸM-PRO"/>
            </a:rPr>
            <a:t>〇公的年金等収入</a:t>
          </a:r>
          <a:endParaRPr lang="en-US" sz="1200" b="0" strike="noStrike" spc="-1">
            <a:latin typeface="游明朝"/>
          </a:endParaRPr>
        </a:p>
        <a:p>
          <a:pPr defTabSz="914400">
            <a:lnSpc>
              <a:spcPct val="100000"/>
            </a:lnSpc>
            <a:tabLst>
              <a:tab pos="0" algn="l"/>
            </a:tabLst>
          </a:pPr>
          <a:r>
            <a:rPr lang="ja-JP" sz="1200" b="0" strike="noStrike" spc="-1">
              <a:solidFill>
                <a:srgbClr val="FF0000"/>
              </a:solidFill>
              <a:latin typeface="HG丸ｺﾞｼｯｸM-PRO"/>
              <a:ea typeface="HG丸ｺﾞｼｯｸM-PRO"/>
            </a:rPr>
            <a:t>令和</a:t>
          </a:r>
          <a:r>
            <a:rPr lang="en-US" sz="1200" b="0" strike="noStrike" spc="-1">
              <a:solidFill>
                <a:srgbClr val="FF0000"/>
              </a:solidFill>
              <a:latin typeface="HG丸ｺﾞｼｯｸM-PRO"/>
              <a:ea typeface="HG丸ｺﾞｼｯｸM-PRO"/>
            </a:rPr>
            <a:t>7</a:t>
          </a:r>
          <a:r>
            <a:rPr lang="ja-JP" sz="1200" b="0" strike="noStrike" spc="-1">
              <a:solidFill>
                <a:srgbClr val="FF0000"/>
              </a:solidFill>
              <a:latin typeface="HG丸ｺﾞｼｯｸM-PRO"/>
              <a:ea typeface="HG丸ｺﾞｼｯｸM-PRO"/>
            </a:rPr>
            <a:t>年</a:t>
          </a:r>
          <a:r>
            <a:rPr lang="en-US" sz="1200" b="0" strike="noStrike" spc="-1">
              <a:solidFill>
                <a:srgbClr val="FF0000"/>
              </a:solidFill>
              <a:latin typeface="HG丸ｺﾞｼｯｸM-PRO"/>
              <a:ea typeface="HG丸ｺﾞｼｯｸM-PRO"/>
            </a:rPr>
            <a:t>1</a:t>
          </a:r>
          <a:r>
            <a:rPr lang="ja-JP" sz="1200" b="0" strike="noStrike" spc="-1">
              <a:solidFill>
                <a:srgbClr val="FF0000"/>
              </a:solidFill>
              <a:latin typeface="HG丸ｺﾞｼｯｸM-PRO"/>
              <a:ea typeface="HG丸ｺﾞｼｯｸM-PRO"/>
            </a:rPr>
            <a:t>月～</a:t>
          </a:r>
          <a:r>
            <a:rPr lang="en-US" sz="1200" b="0" strike="noStrike" spc="-1">
              <a:solidFill>
                <a:srgbClr val="FF0000"/>
              </a:solidFill>
              <a:latin typeface="HG丸ｺﾞｼｯｸM-PRO"/>
              <a:ea typeface="HG丸ｺﾞｼｯｸM-PRO"/>
            </a:rPr>
            <a:t>12</a:t>
          </a:r>
          <a:r>
            <a:rPr lang="ja-JP" sz="1200" b="0" strike="noStrike" spc="-1">
              <a:solidFill>
                <a:srgbClr val="FF0000"/>
              </a:solidFill>
              <a:latin typeface="HG丸ｺﾞｼｯｸM-PRO"/>
              <a:ea typeface="HG丸ｺﾞｼｯｸM-PRO"/>
            </a:rPr>
            <a:t>月</a:t>
          </a:r>
          <a:r>
            <a:rPr lang="ja-JP" sz="1200" b="0" strike="noStrike" spc="-1">
              <a:solidFill>
                <a:schemeClr val="dk1"/>
              </a:solidFill>
              <a:latin typeface="HG丸ｺﾞｼｯｸM-PRO"/>
              <a:ea typeface="HG丸ｺﾞｼｯｸM-PRO"/>
            </a:rPr>
            <a:t>までの公的年金収入額（障害年金や遺族年金を除く）を入力してください。</a:t>
          </a:r>
          <a:endParaRPr lang="en-US" sz="1200" b="0" strike="noStrike" spc="-1">
            <a:latin typeface="游明朝"/>
          </a:endParaRPr>
        </a:p>
        <a:p>
          <a:pPr defTabSz="914400">
            <a:lnSpc>
              <a:spcPct val="100000"/>
            </a:lnSpc>
            <a:tabLst>
              <a:tab pos="0" algn="l"/>
            </a:tabLst>
          </a:pPr>
          <a:r>
            <a:rPr lang="ja-JP" sz="1200" b="0" strike="noStrike" spc="-1">
              <a:solidFill>
                <a:schemeClr val="dk1"/>
              </a:solidFill>
              <a:latin typeface="HG丸ｺﾞｼｯｸM-PRO"/>
              <a:ea typeface="HG丸ｺﾞｼｯｸM-PRO"/>
            </a:rPr>
            <a:t>公的年金等の源泉徴収票をお持ちの方は、「支払金額」欄に記載されている金額をご確認ください（資料３）。</a:t>
          </a:r>
          <a:endParaRPr lang="en-US" sz="1200" b="0" strike="noStrike" spc="-1">
            <a:latin typeface="游明朝"/>
          </a:endParaRPr>
        </a:p>
        <a:p>
          <a:pPr defTabSz="914400">
            <a:lnSpc>
              <a:spcPct val="100000"/>
            </a:lnSpc>
            <a:tabLst>
              <a:tab pos="0" algn="l"/>
            </a:tabLst>
          </a:pPr>
          <a:endParaRPr lang="en-US" sz="1400" b="0" strike="noStrike" spc="-1">
            <a:latin typeface="游明朝"/>
          </a:endParaRPr>
        </a:p>
        <a:p>
          <a:pPr defTabSz="914400">
            <a:lnSpc>
              <a:spcPct val="100000"/>
            </a:lnSpc>
            <a:tabLst>
              <a:tab pos="0" algn="l"/>
            </a:tabLst>
          </a:pPr>
          <a:r>
            <a:rPr lang="ja-JP" sz="1200" b="0" u="sng" strike="noStrike" spc="-1">
              <a:solidFill>
                <a:schemeClr val="dk1"/>
              </a:solidFill>
              <a:uFillTx/>
              <a:latin typeface="HG丸ｺﾞｼｯｸM-PRO"/>
              <a:ea typeface="HG丸ｺﾞｼｯｸM-PRO"/>
            </a:rPr>
            <a:t>〇その他所得</a:t>
          </a:r>
          <a:endParaRPr lang="en-US" sz="1200" b="0" strike="noStrike" spc="-1">
            <a:latin typeface="游明朝"/>
          </a:endParaRPr>
        </a:p>
        <a:p>
          <a:pPr defTabSz="914400">
            <a:lnSpc>
              <a:spcPct val="100000"/>
            </a:lnSpc>
            <a:tabLst>
              <a:tab pos="0" algn="l"/>
            </a:tabLst>
          </a:pPr>
          <a:r>
            <a:rPr lang="ja-JP" sz="1200" b="0" strike="noStrike" spc="-1">
              <a:solidFill>
                <a:schemeClr val="dk1"/>
              </a:solidFill>
              <a:latin typeface="HG丸ｺﾞｼｯｸM-PRO"/>
              <a:ea typeface="HG丸ｺﾞｼｯｸM-PRO"/>
            </a:rPr>
            <a:t>給与・公的年金以外の種類の所得の合計額を入力してください。</a:t>
          </a:r>
          <a:endParaRPr lang="en-US" sz="1200" b="0" strike="noStrike" spc="-1">
            <a:latin typeface="游明朝"/>
          </a:endParaRPr>
        </a:p>
        <a:p>
          <a:pPr defTabSz="914400">
            <a:lnSpc>
              <a:spcPct val="100000"/>
            </a:lnSpc>
            <a:tabLst>
              <a:tab pos="0" algn="l"/>
            </a:tabLst>
          </a:pPr>
          <a:r>
            <a:rPr lang="ja-JP" sz="1200" b="0" strike="noStrike" spc="-1">
              <a:solidFill>
                <a:schemeClr val="dk1"/>
              </a:solidFill>
              <a:latin typeface="HG丸ｺﾞｼｯｸM-PRO"/>
              <a:ea typeface="HG丸ｺﾞｼｯｸM-PRO"/>
            </a:rPr>
            <a:t>確定申告書の控をお持ちの方は、「所得金額等」の給与・公的年金等以外で記載されている金額を合計し、入力してください（資料１）。</a:t>
          </a:r>
          <a:endParaRPr lang="en-US" sz="1200" b="0" strike="noStrike" spc="-1">
            <a:latin typeface="游明朝"/>
          </a:endParaRPr>
        </a:p>
      </xdr:txBody>
    </xdr:sp>
    <xdr:clientData/>
  </xdr:twoCellAnchor>
  <xdr:twoCellAnchor>
    <xdr:from xmlns:xdr="http://schemas.openxmlformats.org/drawingml/2006/spreadsheetDrawing">
      <xdr:col>12</xdr:col>
      <xdr:colOff>256540</xdr:colOff>
      <xdr:row>0</xdr:row>
      <xdr:rowOff>33655</xdr:rowOff>
    </xdr:from>
    <xdr:to xmlns:xdr="http://schemas.openxmlformats.org/drawingml/2006/spreadsheetDrawing">
      <xdr:col>18</xdr:col>
      <xdr:colOff>85090</xdr:colOff>
      <xdr:row>30</xdr:row>
      <xdr:rowOff>99060</xdr:rowOff>
    </xdr:to>
    <xdr:grpSp>
      <xdr:nvGrpSpPr>
        <xdr:cNvPr id="2060" name="グループ化 27"/>
        <xdr:cNvGrpSpPr/>
      </xdr:nvGrpSpPr>
      <xdr:grpSpPr>
        <a:xfrm>
          <a:off x="7251700" y="33655"/>
          <a:ext cx="3326130" cy="5208905"/>
          <a:chOff x="7419600" y="33480"/>
          <a:chExt cx="3409560" cy="5211000"/>
        </a:xfrm>
      </xdr:grpSpPr>
      <xdr:pic macro="">
        <xdr:nvPicPr>
          <xdr:cNvPr id="2061" name="図 20"/>
          <xdr:cNvPicPr/>
        </xdr:nvPicPr>
        <xdr:blipFill>
          <a:blip xmlns:r="http://schemas.openxmlformats.org/officeDocument/2006/relationships" r:embed="rId2"/>
          <a:stretch>
            <a:fillRect/>
          </a:stretch>
        </xdr:blipFill>
        <xdr:spPr>
          <a:xfrm>
            <a:off x="7419600" y="33480"/>
            <a:ext cx="3409560" cy="5211000"/>
          </a:xfrm>
          <a:prstGeom prst="rect">
            <a:avLst/>
          </a:prstGeom>
          <a:ln w="0">
            <a:solidFill>
              <a:srgbClr val="000000"/>
            </a:solidFill>
          </a:ln>
        </xdr:spPr>
      </xdr:pic>
      <xdr:sp macro="" textlink="">
        <xdr:nvSpPr>
          <xdr:cNvPr id="2062" name="正方形/長方形 23"/>
          <xdr:cNvSpPr/>
        </xdr:nvSpPr>
        <xdr:spPr>
          <a:xfrm>
            <a:off x="7549920" y="989640"/>
            <a:ext cx="1576800" cy="2625480"/>
          </a:xfrm>
          <a:prstGeom prst="rect">
            <a:avLst/>
          </a:prstGeom>
          <a:solidFill>
            <a:srgbClr val="FFFF00">
              <a:alpha val="10000"/>
            </a:srgbClr>
          </a:solidFill>
          <a:ln w="38100">
            <a:solidFill>
              <a:srgbClr val="FF0000"/>
            </a:solidFill>
            <a:round/>
          </a:ln>
        </xdr:spPr>
        <xdr:style>
          <a:lnRef idx="2">
            <a:schemeClr val="accent1">
              <a:shade val="50000"/>
            </a:schemeClr>
          </a:lnRef>
          <a:fillRef idx="1">
            <a:schemeClr val="accent1"/>
          </a:fillRef>
          <a:effectRef idx="0">
            <a:schemeClr val="accent1"/>
          </a:effectRef>
          <a:fontRef idx="minor"/>
        </xdr:style>
      </xdr:sp>
    </xdr:grpSp>
    <xdr:clientData/>
  </xdr:twoCellAnchor>
  <xdr:twoCellAnchor>
    <xdr:from xmlns:xdr="http://schemas.openxmlformats.org/drawingml/2006/spreadsheetDrawing">
      <xdr:col>18</xdr:col>
      <xdr:colOff>134620</xdr:colOff>
      <xdr:row>0</xdr:row>
      <xdr:rowOff>31115</xdr:rowOff>
    </xdr:from>
    <xdr:to xmlns:xdr="http://schemas.openxmlformats.org/drawingml/2006/spreadsheetDrawing">
      <xdr:col>24</xdr:col>
      <xdr:colOff>64135</xdr:colOff>
      <xdr:row>30</xdr:row>
      <xdr:rowOff>98425</xdr:rowOff>
    </xdr:to>
    <xdr:grpSp>
      <xdr:nvGrpSpPr>
        <xdr:cNvPr id="2063" name="グループ化 28"/>
        <xdr:cNvGrpSpPr/>
      </xdr:nvGrpSpPr>
      <xdr:grpSpPr>
        <a:xfrm>
          <a:off x="10627360" y="31115"/>
          <a:ext cx="3427095" cy="5210810"/>
          <a:chOff x="10878840" y="31320"/>
          <a:chExt cx="3510720" cy="5212800"/>
        </a:xfrm>
      </xdr:grpSpPr>
      <xdr:pic macro="">
        <xdr:nvPicPr>
          <xdr:cNvPr id="2064" name="図 21"/>
          <xdr:cNvPicPr/>
        </xdr:nvPicPr>
        <xdr:blipFill>
          <a:blip xmlns:r="http://schemas.openxmlformats.org/officeDocument/2006/relationships" r:embed="rId3"/>
          <a:stretch>
            <a:fillRect/>
          </a:stretch>
        </xdr:blipFill>
        <xdr:spPr>
          <a:xfrm>
            <a:off x="10878840" y="31320"/>
            <a:ext cx="3510720" cy="5212800"/>
          </a:xfrm>
          <a:prstGeom prst="rect">
            <a:avLst/>
          </a:prstGeom>
          <a:ln w="0">
            <a:solidFill>
              <a:srgbClr val="000000"/>
            </a:solidFill>
          </a:ln>
        </xdr:spPr>
      </xdr:pic>
      <xdr:sp macro="" textlink="">
        <xdr:nvSpPr>
          <xdr:cNvPr id="2065" name="正方形/長方形 25"/>
          <xdr:cNvSpPr/>
        </xdr:nvSpPr>
        <xdr:spPr>
          <a:xfrm>
            <a:off x="11639160" y="816840"/>
            <a:ext cx="738360" cy="316080"/>
          </a:xfrm>
          <a:prstGeom prst="rect">
            <a:avLst/>
          </a:prstGeom>
          <a:solidFill>
            <a:srgbClr val="FFFF00">
              <a:alpha val="10000"/>
            </a:srgbClr>
          </a:solidFill>
          <a:ln w="38100">
            <a:solidFill>
              <a:srgbClr val="FF0000"/>
            </a:solidFill>
            <a:round/>
          </a:ln>
        </xdr:spPr>
        <xdr:style>
          <a:lnRef idx="2">
            <a:schemeClr val="accent1">
              <a:shade val="50000"/>
            </a:schemeClr>
          </a:lnRef>
          <a:fillRef idx="1">
            <a:schemeClr val="accent1"/>
          </a:fillRef>
          <a:effectRef idx="0">
            <a:schemeClr val="accent1"/>
          </a:effectRef>
          <a:fontRef idx="minor"/>
        </xdr:style>
      </xdr:sp>
    </xdr:grpSp>
    <xdr:clientData/>
  </xdr:twoCellAnchor>
  <xdr:twoCellAnchor>
    <xdr:from xmlns:xdr="http://schemas.openxmlformats.org/drawingml/2006/spreadsheetDrawing">
      <xdr:col>15</xdr:col>
      <xdr:colOff>314325</xdr:colOff>
      <xdr:row>3</xdr:row>
      <xdr:rowOff>29210</xdr:rowOff>
    </xdr:from>
    <xdr:to xmlns:xdr="http://schemas.openxmlformats.org/drawingml/2006/spreadsheetDrawing">
      <xdr:col>17</xdr:col>
      <xdr:colOff>256540</xdr:colOff>
      <xdr:row>5</xdr:row>
      <xdr:rowOff>142240</xdr:rowOff>
    </xdr:to>
    <xdr:grpSp>
      <xdr:nvGrpSpPr>
        <xdr:cNvPr id="2066" name="グループ化 34"/>
        <xdr:cNvGrpSpPr/>
      </xdr:nvGrpSpPr>
      <xdr:grpSpPr>
        <a:xfrm>
          <a:off x="9058275" y="543560"/>
          <a:ext cx="1108075" cy="455930"/>
          <a:chOff x="9267840" y="542880"/>
          <a:chExt cx="1136160" cy="456840"/>
        </a:xfrm>
      </xdr:grpSpPr>
      <xdr:sp macro="" textlink="">
        <xdr:nvSpPr>
          <xdr:cNvPr id="2067" name="角丸四角形 33"/>
          <xdr:cNvSpPr/>
        </xdr:nvSpPr>
        <xdr:spPr>
          <a:xfrm>
            <a:off x="9350280" y="542880"/>
            <a:ext cx="930240" cy="456840"/>
          </a:xfrm>
          <a:prstGeom prst="roundRect">
            <a:avLst>
              <a:gd name="adj" fmla="val 16667"/>
            </a:avLst>
          </a:prstGeom>
          <a:solidFill>
            <a:srgbClr val="FFFF00"/>
          </a:solidFill>
          <a:ln w="25400">
            <a:noFill/>
          </a:ln>
        </xdr:spPr>
        <xdr:style>
          <a:lnRef idx="2">
            <a:schemeClr val="accent1">
              <a:shade val="50000"/>
            </a:schemeClr>
          </a:lnRef>
          <a:fillRef idx="1">
            <a:schemeClr val="accent1"/>
          </a:fillRef>
          <a:effectRef idx="0">
            <a:schemeClr val="accent1"/>
          </a:effectRef>
          <a:fontRef idx="minor"/>
        </xdr:style>
      </xdr:sp>
      <xdr:sp macro="" textlink="">
        <xdr:nvSpPr>
          <xdr:cNvPr id="2068" name="テキスト ボックス 32"/>
          <xdr:cNvSpPr/>
        </xdr:nvSpPr>
        <xdr:spPr>
          <a:xfrm>
            <a:off x="9267840" y="609840"/>
            <a:ext cx="1136160" cy="304200"/>
          </a:xfrm>
          <a:prstGeom prst="rect">
            <a:avLst/>
          </a:prstGeom>
          <a:noFill/>
          <a:ln w="9525">
            <a:noFill/>
          </a:ln>
        </xdr:spPr>
        <xdr:style>
          <a:lnRef idx="0">
            <a:srgbClr val="000000"/>
          </a:lnRef>
          <a:fillRef idx="0">
            <a:srgbClr val="000000"/>
          </a:fillRef>
          <a:effectRef idx="0">
            <a:srgbClr val="000000"/>
          </a:effectRef>
          <a:fontRef idx="minor"/>
        </xdr:style>
        <xdr:txBody>
          <a:bodyPr vertOverflow="clip" horzOverflow="clip" lIns="90000" tIns="45000" rIns="90000" bIns="45000" anchor="ctr"/>
          <a:lstStyle/>
          <a:p>
            <a:pPr algn="ctr">
              <a:lnSpc>
                <a:spcPct val="100000"/>
              </a:lnSpc>
            </a:pPr>
            <a:r>
              <a:rPr lang="ja-JP" sz="1600" b="1" strike="noStrike" spc="-1">
                <a:solidFill>
                  <a:schemeClr val="dk1"/>
                </a:solidFill>
                <a:latin typeface="HG丸ｺﾞｼｯｸM-PRO"/>
                <a:ea typeface="HG丸ｺﾞｼｯｸM-PRO"/>
              </a:rPr>
              <a:t>（資料１）</a:t>
            </a:r>
            <a:endParaRPr lang="en-US" sz="1600" b="0" strike="noStrike" spc="-1">
              <a:latin typeface="游明朝"/>
            </a:endParaRPr>
          </a:p>
        </xdr:txBody>
      </xdr:sp>
    </xdr:grpSp>
    <xdr:clientData/>
  </xdr:twoCellAnchor>
  <xdr:twoCellAnchor>
    <xdr:from xmlns:xdr="http://schemas.openxmlformats.org/drawingml/2006/spreadsheetDrawing">
      <xdr:col>21</xdr:col>
      <xdr:colOff>504825</xdr:colOff>
      <xdr:row>3</xdr:row>
      <xdr:rowOff>0</xdr:rowOff>
    </xdr:from>
    <xdr:to xmlns:xdr="http://schemas.openxmlformats.org/drawingml/2006/spreadsheetDrawing">
      <xdr:col>23</xdr:col>
      <xdr:colOff>447040</xdr:colOff>
      <xdr:row>5</xdr:row>
      <xdr:rowOff>113030</xdr:rowOff>
    </xdr:to>
    <xdr:grpSp>
      <xdr:nvGrpSpPr>
        <xdr:cNvPr id="2069" name="グループ化 35"/>
        <xdr:cNvGrpSpPr/>
      </xdr:nvGrpSpPr>
      <xdr:grpSpPr>
        <a:xfrm>
          <a:off x="12746355" y="514350"/>
          <a:ext cx="1108075" cy="455930"/>
          <a:chOff x="13039560" y="514440"/>
          <a:chExt cx="1136160" cy="456840"/>
        </a:xfrm>
      </xdr:grpSpPr>
      <xdr:sp macro="" textlink="">
        <xdr:nvSpPr>
          <xdr:cNvPr id="2070" name="角丸四角形 36"/>
          <xdr:cNvSpPr/>
        </xdr:nvSpPr>
        <xdr:spPr>
          <a:xfrm>
            <a:off x="13122000" y="514440"/>
            <a:ext cx="930240" cy="456840"/>
          </a:xfrm>
          <a:prstGeom prst="roundRect">
            <a:avLst>
              <a:gd name="adj" fmla="val 16667"/>
            </a:avLst>
          </a:prstGeom>
          <a:solidFill>
            <a:srgbClr val="FFFF00"/>
          </a:solidFill>
          <a:ln w="25400">
            <a:noFill/>
          </a:ln>
        </xdr:spPr>
        <xdr:style>
          <a:lnRef idx="2">
            <a:schemeClr val="accent1">
              <a:shade val="50000"/>
            </a:schemeClr>
          </a:lnRef>
          <a:fillRef idx="1">
            <a:schemeClr val="accent1"/>
          </a:fillRef>
          <a:effectRef idx="0">
            <a:schemeClr val="accent1"/>
          </a:effectRef>
          <a:fontRef idx="minor"/>
        </xdr:style>
      </xdr:sp>
      <xdr:sp macro="" textlink="">
        <xdr:nvSpPr>
          <xdr:cNvPr id="2071" name="テキスト ボックス 37"/>
          <xdr:cNvSpPr/>
        </xdr:nvSpPr>
        <xdr:spPr>
          <a:xfrm>
            <a:off x="13039560" y="581040"/>
            <a:ext cx="1136160" cy="304200"/>
          </a:xfrm>
          <a:prstGeom prst="rect">
            <a:avLst/>
          </a:prstGeom>
          <a:noFill/>
          <a:ln w="9525">
            <a:noFill/>
          </a:ln>
        </xdr:spPr>
        <xdr:style>
          <a:lnRef idx="0">
            <a:srgbClr val="000000"/>
          </a:lnRef>
          <a:fillRef idx="0">
            <a:srgbClr val="000000"/>
          </a:fillRef>
          <a:effectRef idx="0">
            <a:srgbClr val="000000"/>
          </a:effectRef>
          <a:fontRef idx="minor"/>
        </xdr:style>
        <xdr:txBody>
          <a:bodyPr vertOverflow="clip" horzOverflow="clip" lIns="90000" tIns="45000" rIns="90000" bIns="45000" anchor="ctr"/>
          <a:lstStyle/>
          <a:p>
            <a:pPr algn="ctr">
              <a:lnSpc>
                <a:spcPct val="100000"/>
              </a:lnSpc>
            </a:pPr>
            <a:r>
              <a:rPr lang="ja-JP" sz="1600" b="1" strike="noStrike" spc="-1">
                <a:solidFill>
                  <a:schemeClr val="dk1"/>
                </a:solidFill>
                <a:latin typeface="HG丸ｺﾞｼｯｸM-PRO"/>
                <a:ea typeface="HG丸ｺﾞｼｯｸM-PRO"/>
              </a:rPr>
              <a:t>（資料２）</a:t>
            </a:r>
            <a:endParaRPr lang="en-US" sz="1600" b="0" strike="noStrike" spc="-1">
              <a:latin typeface="游明朝"/>
            </a:endParaRPr>
          </a:p>
        </xdr:txBody>
      </xdr:sp>
    </xdr:grpSp>
    <xdr:clientData/>
  </xdr:twoCellAnchor>
  <xdr:twoCellAnchor>
    <xdr:from xmlns:xdr="http://schemas.openxmlformats.org/drawingml/2006/spreadsheetDrawing">
      <xdr:col>14</xdr:col>
      <xdr:colOff>330200</xdr:colOff>
      <xdr:row>31</xdr:row>
      <xdr:rowOff>12065</xdr:rowOff>
    </xdr:from>
    <xdr:to xmlns:xdr="http://schemas.openxmlformats.org/drawingml/2006/spreadsheetDrawing">
      <xdr:col>22</xdr:col>
      <xdr:colOff>19050</xdr:colOff>
      <xdr:row>51</xdr:row>
      <xdr:rowOff>17780</xdr:rowOff>
    </xdr:to>
    <xdr:grpSp>
      <xdr:nvGrpSpPr>
        <xdr:cNvPr id="2072" name="グループ化 43"/>
        <xdr:cNvGrpSpPr/>
      </xdr:nvGrpSpPr>
      <xdr:grpSpPr>
        <a:xfrm>
          <a:off x="8491220" y="5327015"/>
          <a:ext cx="4352290" cy="3434715"/>
          <a:chOff x="8687160" y="5326200"/>
          <a:chExt cx="4463640" cy="3435120"/>
        </a:xfrm>
      </xdr:grpSpPr>
      <xdr:grpSp>
        <xdr:nvGrpSpPr>
          <xdr:cNvPr id="2073" name="グループ化 29"/>
          <xdr:cNvGrpSpPr/>
        </xdr:nvGrpSpPr>
        <xdr:grpSpPr>
          <a:xfrm>
            <a:off x="8687160" y="5326200"/>
            <a:ext cx="4463640" cy="3435120"/>
            <a:chOff x="8687160" y="5326200"/>
            <a:chExt cx="4463640" cy="3435120"/>
          </a:xfrm>
        </xdr:grpSpPr>
        <xdr:pic macro="">
          <xdr:nvPicPr>
            <xdr:cNvPr id="2074" name="図 22"/>
            <xdr:cNvPicPr/>
          </xdr:nvPicPr>
          <xdr:blipFill>
            <a:blip xmlns:r="http://schemas.openxmlformats.org/officeDocument/2006/relationships" r:embed="rId4"/>
            <a:stretch>
              <a:fillRect/>
            </a:stretch>
          </xdr:blipFill>
          <xdr:spPr>
            <a:xfrm>
              <a:off x="8687160" y="5326200"/>
              <a:ext cx="4463640" cy="3435120"/>
            </a:xfrm>
            <a:prstGeom prst="rect">
              <a:avLst/>
            </a:prstGeom>
            <a:ln w="0">
              <a:solidFill>
                <a:srgbClr val="000000"/>
              </a:solidFill>
            </a:ln>
          </xdr:spPr>
        </xdr:pic>
        <xdr:sp macro="" textlink="">
          <xdr:nvSpPr>
            <xdr:cNvPr id="2075" name="正方形/長方形 26"/>
            <xdr:cNvSpPr/>
          </xdr:nvSpPr>
          <xdr:spPr>
            <a:xfrm>
              <a:off x="8837640" y="6143760"/>
              <a:ext cx="2468880" cy="612360"/>
            </a:xfrm>
            <a:prstGeom prst="rect">
              <a:avLst/>
            </a:prstGeom>
            <a:solidFill>
              <a:srgbClr val="FFFF00">
                <a:alpha val="10000"/>
              </a:srgbClr>
            </a:solidFill>
            <a:ln w="38100">
              <a:solidFill>
                <a:srgbClr val="FF0000"/>
              </a:solidFill>
              <a:round/>
            </a:ln>
          </xdr:spPr>
          <xdr:style>
            <a:lnRef idx="2">
              <a:schemeClr val="accent1">
                <a:shade val="50000"/>
              </a:schemeClr>
            </a:lnRef>
            <a:fillRef idx="1">
              <a:schemeClr val="accent1"/>
            </a:fillRef>
            <a:effectRef idx="0">
              <a:schemeClr val="accent1"/>
            </a:effectRef>
            <a:fontRef idx="minor"/>
          </xdr:style>
        </xdr:sp>
      </xdr:grpSp>
      <xdr:grpSp>
        <xdr:nvGrpSpPr>
          <xdr:cNvPr id="2076" name="グループ化 38"/>
          <xdr:cNvGrpSpPr/>
        </xdr:nvGrpSpPr>
        <xdr:grpSpPr>
          <a:xfrm>
            <a:off x="11675520" y="5806440"/>
            <a:ext cx="1155600" cy="411840"/>
            <a:chOff x="11675520" y="5806440"/>
            <a:chExt cx="1155600" cy="411840"/>
          </a:xfrm>
        </xdr:grpSpPr>
        <xdr:sp macro="" textlink="">
          <xdr:nvSpPr>
            <xdr:cNvPr id="2077" name="角丸四角形 39"/>
            <xdr:cNvSpPr/>
          </xdr:nvSpPr>
          <xdr:spPr>
            <a:xfrm>
              <a:off x="11824920" y="5806440"/>
              <a:ext cx="860400" cy="411840"/>
            </a:xfrm>
            <a:prstGeom prst="roundRect">
              <a:avLst>
                <a:gd name="adj" fmla="val 16667"/>
              </a:avLst>
            </a:prstGeom>
            <a:solidFill>
              <a:srgbClr val="FFFF00"/>
            </a:solidFill>
            <a:ln w="25400">
              <a:noFill/>
            </a:ln>
          </xdr:spPr>
          <xdr:style>
            <a:lnRef idx="2">
              <a:schemeClr val="accent1">
                <a:shade val="50000"/>
              </a:schemeClr>
            </a:lnRef>
            <a:fillRef idx="1">
              <a:schemeClr val="accent1"/>
            </a:fillRef>
            <a:effectRef idx="0">
              <a:schemeClr val="accent1"/>
            </a:effectRef>
            <a:fontRef idx="minor"/>
          </xdr:style>
        </xdr:sp>
        <xdr:sp macro="" textlink="">
          <xdr:nvSpPr>
            <xdr:cNvPr id="2078" name="テキスト ボックス 40"/>
            <xdr:cNvSpPr/>
          </xdr:nvSpPr>
          <xdr:spPr>
            <a:xfrm>
              <a:off x="11675520" y="5866200"/>
              <a:ext cx="1155600" cy="316440"/>
            </a:xfrm>
            <a:prstGeom prst="rect">
              <a:avLst/>
            </a:prstGeom>
            <a:noFill/>
            <a:ln w="9525">
              <a:noFill/>
            </a:ln>
          </xdr:spPr>
          <xdr:style>
            <a:lnRef idx="0">
              <a:srgbClr val="000000"/>
            </a:lnRef>
            <a:fillRef idx="0">
              <a:srgbClr val="000000"/>
            </a:fillRef>
            <a:effectRef idx="0">
              <a:srgbClr val="000000"/>
            </a:effectRef>
            <a:fontRef idx="minor"/>
          </xdr:style>
          <xdr:txBody>
            <a:bodyPr vertOverflow="clip" horzOverflow="clip" lIns="90000" tIns="45000" rIns="90000" bIns="45000" anchor="ctr"/>
            <a:lstStyle/>
            <a:p>
              <a:pPr algn="ctr">
                <a:lnSpc>
                  <a:spcPct val="100000"/>
                </a:lnSpc>
              </a:pPr>
              <a:r>
                <a:rPr lang="ja-JP" sz="1600" b="1" strike="noStrike" spc="-1">
                  <a:solidFill>
                    <a:schemeClr val="dk1"/>
                  </a:solidFill>
                  <a:latin typeface="HG丸ｺﾞｼｯｸM-PRO"/>
                  <a:ea typeface="HG丸ｺﾞｼｯｸM-PRO"/>
                </a:rPr>
                <a:t>（資料３）</a:t>
              </a:r>
              <a:endParaRPr lang="en-US" sz="1600" b="0" strike="noStrike" spc="-1">
                <a:latin typeface="游明朝"/>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183515</xdr:colOff>
      <xdr:row>0</xdr:row>
      <xdr:rowOff>320675</xdr:rowOff>
    </xdr:from>
    <xdr:to xmlns:xdr="http://schemas.openxmlformats.org/drawingml/2006/spreadsheetDrawing">
      <xdr:col>12</xdr:col>
      <xdr:colOff>969010</xdr:colOff>
      <xdr:row>2</xdr:row>
      <xdr:rowOff>320675</xdr:rowOff>
    </xdr:to>
    <xdr:sp macro="" textlink="">
      <xdr:nvSpPr>
        <xdr:cNvPr id="31" name="テキスト ボックス 5"/>
        <xdr:cNvSpPr/>
      </xdr:nvSpPr>
      <xdr:spPr>
        <a:xfrm>
          <a:off x="7159625" y="320675"/>
          <a:ext cx="5293360" cy="1009650"/>
        </a:xfrm>
        <a:prstGeom prst="rect">
          <a:avLst/>
        </a:prstGeom>
        <a:solidFill>
          <a:srgbClr val="FFFF99"/>
        </a:solidFill>
        <a:ln w="25400">
          <a:solidFill>
            <a:srgbClr val="F79646"/>
          </a:solidFill>
          <a:round/>
        </a:ln>
      </xdr:spPr>
      <xdr:style>
        <a:lnRef idx="2">
          <a:schemeClr val="accent6"/>
        </a:lnRef>
        <a:fillRef idx="1">
          <a:schemeClr val="lt1"/>
        </a:fillRef>
        <a:effectRef idx="0">
          <a:schemeClr val="accent6"/>
        </a:effectRef>
        <a:fontRef idx="minor"/>
      </xdr:style>
      <xdr:txBody>
        <a:bodyPr vertOverflow="clip" horzOverflow="clip" lIns="90000" tIns="45000" rIns="90000" bIns="45000" anchor="ctr"/>
        <a:lstStyle/>
        <a:p>
          <a:pPr algn="ctr">
            <a:lnSpc>
              <a:spcPct val="100000"/>
            </a:lnSpc>
          </a:pPr>
          <a:r>
            <a:rPr lang="ja-JP" sz="2000" b="1" strike="noStrike" spc="-1">
              <a:solidFill>
                <a:schemeClr val="dk1"/>
              </a:solidFill>
              <a:latin typeface="HG丸ｺﾞｼｯｸM-PRO"/>
              <a:ea typeface="HG丸ｺﾞｼｯｸM-PRO"/>
            </a:rPr>
            <a:t>【使い方】黄色のセルに入力してください</a:t>
          </a:r>
          <a:endParaRPr lang="en-US" sz="2000" b="0" strike="noStrike" spc="-1">
            <a:latin typeface="游明朝"/>
          </a:endParaRPr>
        </a:p>
      </xdr:txBody>
    </xdr:sp>
    <xdr:clientData/>
  </xdr:twoCellAnchor>
  <xdr:twoCellAnchor>
    <xdr:from xmlns:xdr="http://schemas.openxmlformats.org/drawingml/2006/spreadsheetDrawing">
      <xdr:col>10</xdr:col>
      <xdr:colOff>241300</xdr:colOff>
      <xdr:row>31</xdr:row>
      <xdr:rowOff>370205</xdr:rowOff>
    </xdr:from>
    <xdr:to xmlns:xdr="http://schemas.openxmlformats.org/drawingml/2006/spreadsheetDrawing">
      <xdr:col>12</xdr:col>
      <xdr:colOff>1088390</xdr:colOff>
      <xdr:row>46</xdr:row>
      <xdr:rowOff>128270</xdr:rowOff>
    </xdr:to>
    <xdr:sp macro="" textlink="">
      <xdr:nvSpPr>
        <xdr:cNvPr id="32" name="テキスト ボックス 1"/>
        <xdr:cNvSpPr/>
      </xdr:nvSpPr>
      <xdr:spPr>
        <a:xfrm>
          <a:off x="9548495" y="12362180"/>
          <a:ext cx="3023870" cy="5625465"/>
        </a:xfrm>
        <a:prstGeom prst="rect">
          <a:avLst/>
        </a:prstGeom>
        <a:noFill/>
        <a:ln w="63500">
          <a:solidFill>
            <a:srgbClr val="000000"/>
          </a:solidFill>
          <a:round/>
        </a:ln>
      </xdr:spPr>
      <xdr:style>
        <a:lnRef idx="0">
          <a:srgbClr val="000000"/>
        </a:lnRef>
        <a:fillRef idx="0">
          <a:srgbClr val="000000"/>
        </a:fillRef>
        <a:effectRef idx="0">
          <a:srgbClr val="000000"/>
        </a:effectRef>
        <a:fontRef idx="minor"/>
      </xdr:style>
      <xdr:txBody>
        <a:bodyPr vertOverflow="clip" horzOverflow="clip" lIns="90000" tIns="45000" rIns="90000" bIns="45000" anchor="t"/>
        <a:lstStyle/>
        <a:p>
          <a:pPr>
            <a:lnSpc>
              <a:spcPct val="100000"/>
            </a:lnSpc>
          </a:pPr>
          <a:r>
            <a:rPr lang="ja-JP" sz="1800" b="0" strike="noStrike" spc="-1">
              <a:solidFill>
                <a:schemeClr val="dk1"/>
              </a:solidFill>
              <a:latin typeface="Calibri"/>
            </a:rPr>
            <a:t>【注意事項】</a:t>
          </a:r>
          <a:endParaRPr lang="en-US" sz="1800" b="0" strike="noStrike" spc="-1">
            <a:latin typeface="游明朝"/>
          </a:endParaRPr>
        </a:p>
        <a:p>
          <a:pPr>
            <a:lnSpc>
              <a:spcPct val="100000"/>
            </a:lnSpc>
          </a:pPr>
          <a:r>
            <a:rPr lang="en-US" sz="1800" b="1" u="sng" strike="noStrike" spc="-1">
              <a:solidFill>
                <a:schemeClr val="dk1"/>
              </a:solidFill>
              <a:uFillTx/>
              <a:latin typeface="Calibri"/>
            </a:rPr>
            <a:t>○</a:t>
          </a:r>
          <a:r>
            <a:rPr lang="ja-JP" sz="1800" b="1" u="sng" strike="noStrike" spc="-1">
              <a:solidFill>
                <a:schemeClr val="dk1"/>
              </a:solidFill>
              <a:uFillTx/>
              <a:latin typeface="Calibri"/>
            </a:rPr>
            <a:t>このエクセルによる計算結果は、実際の決定税額と異なる場合があります。</a:t>
          </a:r>
          <a:endParaRPr lang="en-US" sz="1800" b="0" strike="noStrike" spc="-1">
            <a:latin typeface="游明朝"/>
          </a:endParaRPr>
        </a:p>
        <a:p>
          <a:pPr>
            <a:lnSpc>
              <a:spcPct val="100000"/>
            </a:lnSpc>
          </a:pPr>
          <a:endParaRPr lang="en-US" sz="1600" b="0" strike="noStrike" spc="-1">
            <a:latin typeface="游明朝"/>
          </a:endParaRPr>
        </a:p>
        <a:p>
          <a:pPr>
            <a:lnSpc>
              <a:spcPct val="100000"/>
            </a:lnSpc>
          </a:pPr>
          <a:r>
            <a:rPr lang="en-US" sz="1400" b="0" strike="noStrike" spc="-1">
              <a:solidFill>
                <a:schemeClr val="dk1"/>
              </a:solidFill>
              <a:latin typeface="Calibri"/>
            </a:rPr>
            <a:t>○4</a:t>
          </a:r>
          <a:r>
            <a:rPr lang="ja-JP" sz="1400" b="0" strike="noStrike" spc="-1">
              <a:solidFill>
                <a:schemeClr val="dk1"/>
              </a:solidFill>
              <a:latin typeface="Calibri"/>
            </a:rPr>
            <a:t>月</a:t>
          </a:r>
          <a:r>
            <a:rPr lang="en-US" sz="1400" b="0" strike="noStrike" spc="-1">
              <a:solidFill>
                <a:schemeClr val="dk1"/>
              </a:solidFill>
              <a:latin typeface="Calibri"/>
            </a:rPr>
            <a:t>1</a:t>
          </a:r>
          <a:r>
            <a:rPr lang="ja-JP" sz="1400" b="0" strike="noStrike" spc="-1">
              <a:solidFill>
                <a:schemeClr val="dk1"/>
              </a:solidFill>
              <a:latin typeface="Calibri"/>
            </a:rPr>
            <a:t>日～翌年</a:t>
          </a:r>
          <a:r>
            <a:rPr lang="en-US" sz="1400" b="0" strike="noStrike" spc="-1">
              <a:solidFill>
                <a:schemeClr val="dk1"/>
              </a:solidFill>
              <a:latin typeface="Calibri"/>
            </a:rPr>
            <a:t>3</a:t>
          </a:r>
          <a:r>
            <a:rPr lang="ja-JP" sz="1400" b="0" strike="noStrike" spc="-1">
              <a:solidFill>
                <a:schemeClr val="dk1"/>
              </a:solidFill>
              <a:latin typeface="Calibri"/>
            </a:rPr>
            <a:t>月</a:t>
          </a:r>
          <a:r>
            <a:rPr lang="en-US" sz="1400" b="0" strike="noStrike" spc="-1">
              <a:solidFill>
                <a:schemeClr val="dk1"/>
              </a:solidFill>
              <a:latin typeface="Calibri"/>
            </a:rPr>
            <a:t>31</a:t>
          </a:r>
          <a:r>
            <a:rPr lang="ja-JP" sz="1400" b="0" strike="noStrike" spc="-1">
              <a:solidFill>
                <a:schemeClr val="dk1"/>
              </a:solidFill>
              <a:latin typeface="Calibri"/>
            </a:rPr>
            <a:t>日まで国民健康保険に加入している場合の保険税の計算結果となります。</a:t>
          </a:r>
          <a:endParaRPr lang="en-US" sz="1400" b="0" strike="noStrike" spc="-1">
            <a:latin typeface="游明朝"/>
          </a:endParaRPr>
        </a:p>
        <a:p>
          <a:pPr>
            <a:lnSpc>
              <a:spcPct val="100000"/>
            </a:lnSpc>
          </a:pPr>
          <a:endParaRPr lang="en-US" sz="1400" b="0" strike="noStrike" spc="-1">
            <a:latin typeface="游明朝"/>
          </a:endParaRPr>
        </a:p>
        <a:p>
          <a:pPr>
            <a:lnSpc>
              <a:spcPct val="100000"/>
            </a:lnSpc>
          </a:pPr>
          <a:r>
            <a:rPr lang="en-US" sz="1400" b="0" strike="noStrike" spc="-1">
              <a:solidFill>
                <a:schemeClr val="dk1"/>
              </a:solidFill>
              <a:latin typeface="Calibri"/>
            </a:rPr>
            <a:t>○</a:t>
          </a:r>
          <a:r>
            <a:rPr lang="ja-JP" sz="1400" b="0" strike="noStrike" spc="-1">
              <a:solidFill>
                <a:schemeClr val="dk1"/>
              </a:solidFill>
              <a:latin typeface="Calibri"/>
            </a:rPr>
            <a:t>確定申告をする世帯のうち、次のいずれかに該当する場合は、正しく計算できません。</a:t>
          </a:r>
          <a:endParaRPr lang="en-US" sz="1400" b="0" strike="noStrike" spc="-1">
            <a:latin typeface="游明朝"/>
          </a:endParaRPr>
        </a:p>
        <a:p>
          <a:pPr>
            <a:lnSpc>
              <a:spcPct val="100000"/>
            </a:lnSpc>
          </a:pPr>
          <a:r>
            <a:rPr lang="ja-JP" sz="1400" b="0" strike="noStrike" spc="-1">
              <a:solidFill>
                <a:schemeClr val="dk1"/>
              </a:solidFill>
              <a:latin typeface="Calibri"/>
            </a:rPr>
            <a:t>　・ 専従者給与や専従者控除がある</a:t>
          </a:r>
          <a:endParaRPr lang="en-US" sz="1400" b="0" strike="noStrike" spc="-1">
            <a:latin typeface="游明朝"/>
          </a:endParaRPr>
        </a:p>
        <a:p>
          <a:pPr>
            <a:lnSpc>
              <a:spcPct val="100000"/>
            </a:lnSpc>
          </a:pPr>
          <a:r>
            <a:rPr lang="ja-JP" sz="1400" b="0" strike="noStrike" spc="-1">
              <a:solidFill>
                <a:schemeClr val="dk1"/>
              </a:solidFill>
              <a:latin typeface="Calibri"/>
            </a:rPr>
            <a:t>　・ 繰越損失がある　</a:t>
          </a:r>
          <a:endParaRPr lang="en-US" sz="1400" b="0" strike="noStrike" spc="-1">
            <a:latin typeface="游明朝"/>
          </a:endParaRPr>
        </a:p>
        <a:p>
          <a:pPr>
            <a:lnSpc>
              <a:spcPct val="100000"/>
            </a:lnSpc>
          </a:pPr>
          <a:r>
            <a:rPr lang="ja-JP" sz="1400" b="0" strike="noStrike" spc="-1">
              <a:solidFill>
                <a:schemeClr val="dk1"/>
              </a:solidFill>
              <a:latin typeface="Calibri"/>
            </a:rPr>
            <a:t>　・ 分離課税所得がある</a:t>
          </a:r>
          <a:endParaRPr lang="en-US" sz="1400" b="0" strike="noStrike" spc="-1">
            <a:latin typeface="游明朝"/>
          </a:endParaRPr>
        </a:p>
        <a:p>
          <a:pPr>
            <a:lnSpc>
              <a:spcPct val="100000"/>
            </a:lnSpc>
          </a:pPr>
          <a:endParaRPr lang="en-US" sz="1400" b="0" strike="noStrike" spc="-1">
            <a:latin typeface="游明朝"/>
          </a:endParaRPr>
        </a:p>
        <a:p>
          <a:pPr>
            <a:lnSpc>
              <a:spcPct val="100000"/>
            </a:lnSpc>
          </a:pPr>
          <a:r>
            <a:rPr lang="ja-JP" sz="1400" b="0" strike="noStrike" spc="-1">
              <a:solidFill>
                <a:schemeClr val="dk1"/>
              </a:solidFill>
              <a:latin typeface="Calibri"/>
            </a:rPr>
            <a:t>〇その他、減免制度や軽減制度が適用となる場合は、正しく計算できません</a:t>
          </a:r>
          <a:r>
            <a:rPr lang="ja-JP" sz="1200" b="0" strike="noStrike" spc="-1">
              <a:solidFill>
                <a:schemeClr val="dk1"/>
              </a:solidFill>
              <a:latin typeface="Calibri"/>
            </a:rPr>
            <a:t>。</a:t>
          </a:r>
          <a:endParaRPr lang="en-US" sz="1200" b="0" strike="noStrike" spc="-1">
            <a:latin typeface="游明朝"/>
          </a:endParaRPr>
        </a:p>
      </xdr:txBody>
    </xdr:sp>
    <xdr:clientData/>
  </xdr:twoCellAnchor>
  <xdr:twoCellAnchor>
    <xdr:from xmlns:xdr="http://schemas.openxmlformats.org/drawingml/2006/spreadsheetDrawing">
      <xdr:col>0</xdr:col>
      <xdr:colOff>224155</xdr:colOff>
      <xdr:row>42</xdr:row>
      <xdr:rowOff>95885</xdr:rowOff>
    </xdr:from>
    <xdr:to xmlns:xdr="http://schemas.openxmlformats.org/drawingml/2006/spreadsheetDrawing">
      <xdr:col>10</xdr:col>
      <xdr:colOff>23495</xdr:colOff>
      <xdr:row>47</xdr:row>
      <xdr:rowOff>0</xdr:rowOff>
    </xdr:to>
    <xdr:sp macro="" textlink="">
      <xdr:nvSpPr>
        <xdr:cNvPr id="33" name="テキスト ボックス 36"/>
        <xdr:cNvSpPr/>
      </xdr:nvSpPr>
      <xdr:spPr>
        <a:xfrm>
          <a:off x="224155" y="17012285"/>
          <a:ext cx="9106535" cy="1056640"/>
        </a:xfrm>
        <a:prstGeom prst="rect">
          <a:avLst/>
        </a:prstGeom>
        <a:solidFill>
          <a:srgbClr val="F2F2F2"/>
        </a:solidFill>
        <a:ln w="63500">
          <a:noFill/>
        </a:ln>
      </xdr:spPr>
      <xdr:style>
        <a:lnRef idx="0">
          <a:srgbClr val="000000"/>
        </a:lnRef>
        <a:fillRef idx="0">
          <a:srgbClr val="000000"/>
        </a:fillRef>
        <a:effectRef idx="0">
          <a:srgbClr val="000000"/>
        </a:effectRef>
        <a:fontRef idx="minor"/>
      </xdr:style>
      <xdr:txBody>
        <a:bodyPr vertOverflow="clip" horzOverflow="clip" lIns="90000" tIns="45000" rIns="90000" bIns="45000" anchor="t"/>
        <a:lstStyle/>
        <a:p>
          <a:pPr>
            <a:lnSpc>
              <a:spcPct val="100000"/>
            </a:lnSpc>
          </a:pPr>
          <a:r>
            <a:rPr lang="ja-JP" sz="2000" b="0" strike="noStrike" spc="-1">
              <a:solidFill>
                <a:schemeClr val="dk1"/>
              </a:solidFill>
              <a:latin typeface="Calibri"/>
            </a:rPr>
            <a:t>【お問い合わせ先】</a:t>
          </a:r>
          <a:endParaRPr lang="en-US" sz="2000" b="0" strike="noStrike" spc="-1">
            <a:latin typeface="游明朝"/>
          </a:endParaRPr>
        </a:p>
        <a:p>
          <a:pPr>
            <a:lnSpc>
              <a:spcPct val="100000"/>
            </a:lnSpc>
          </a:pPr>
          <a:r>
            <a:rPr lang="ja-JP" altLang="en-US" sz="2000" b="0" strike="noStrike" spc="-1">
              <a:solidFill>
                <a:schemeClr val="dk1"/>
              </a:solidFill>
              <a:latin typeface="Calibri"/>
            </a:rPr>
            <a:t>小浜</a:t>
          </a:r>
          <a:r>
            <a:rPr lang="ja-JP" sz="2000" b="0" strike="noStrike" spc="-1">
              <a:solidFill>
                <a:schemeClr val="dk1"/>
              </a:solidFill>
              <a:latin typeface="Calibri"/>
            </a:rPr>
            <a:t>市　</a:t>
          </a:r>
          <a:r>
            <a:rPr lang="ja-JP" altLang="en-US" sz="2000" b="0" strike="noStrike" spc="-1">
              <a:solidFill>
                <a:schemeClr val="dk1"/>
              </a:solidFill>
              <a:latin typeface="Calibri"/>
            </a:rPr>
            <a:t>総務部税務課　課税グループ</a:t>
          </a:r>
          <a:r>
            <a:rPr lang="ja-JP" sz="2000" b="0" strike="noStrike" spc="-1">
              <a:solidFill>
                <a:schemeClr val="dk1"/>
              </a:solidFill>
              <a:latin typeface="Calibri"/>
            </a:rPr>
            <a:t>　　ＴＥＬ：（</a:t>
          </a:r>
          <a:r>
            <a:rPr lang="ja-JP" altLang="en-US" sz="2000" b="0" strike="noStrike" spc="-1">
              <a:solidFill>
                <a:schemeClr val="dk1"/>
              </a:solidFill>
              <a:latin typeface="Calibri"/>
            </a:rPr>
            <a:t>０７７０</a:t>
          </a:r>
          <a:r>
            <a:rPr lang="ja-JP" sz="2000" b="0" strike="noStrike" spc="-1">
              <a:solidFill>
                <a:schemeClr val="dk1"/>
              </a:solidFill>
              <a:latin typeface="Calibri"/>
            </a:rPr>
            <a:t>）</a:t>
          </a:r>
          <a:r>
            <a:rPr lang="ja-JP" altLang="en-US" sz="2000" b="0" strike="noStrike" spc="-1">
              <a:solidFill>
                <a:schemeClr val="dk1"/>
              </a:solidFill>
              <a:latin typeface="Calibri"/>
            </a:rPr>
            <a:t>６４</a:t>
          </a:r>
          <a:r>
            <a:rPr lang="ja-JP" sz="2000" b="0" strike="noStrike" spc="-1">
              <a:solidFill>
                <a:schemeClr val="dk1"/>
              </a:solidFill>
              <a:latin typeface="Calibri"/>
            </a:rPr>
            <a:t>－</a:t>
          </a:r>
          <a:r>
            <a:rPr lang="ja-JP" altLang="en-US" sz="2000" b="0" strike="noStrike" spc="-1">
              <a:solidFill>
                <a:schemeClr val="dk1"/>
              </a:solidFill>
              <a:latin typeface="Calibri"/>
            </a:rPr>
            <a:t>６００４</a:t>
          </a:r>
          <a:endParaRPr lang="en-US" sz="2000" b="0" strike="noStrike" spc="-1">
            <a:latin typeface="游明朝"/>
          </a:endParaRPr>
        </a:p>
      </xdr:txBody>
    </xdr:sp>
    <xdr:clientData/>
  </xdr:twoCellAnchor>
  <xdr:twoCellAnchor>
    <xdr:from xmlns:xdr="http://schemas.openxmlformats.org/drawingml/2006/spreadsheetDrawing">
      <xdr:col>7</xdr:col>
      <xdr:colOff>384175</xdr:colOff>
      <xdr:row>21</xdr:row>
      <xdr:rowOff>340360</xdr:rowOff>
    </xdr:from>
    <xdr:to xmlns:xdr="http://schemas.openxmlformats.org/drawingml/2006/spreadsheetDrawing">
      <xdr:col>9</xdr:col>
      <xdr:colOff>778510</xdr:colOff>
      <xdr:row>21</xdr:row>
      <xdr:rowOff>1497330</xdr:rowOff>
    </xdr:to>
    <xdr:sp macro="" textlink="">
      <xdr:nvSpPr>
        <xdr:cNvPr id="35" name="四角形吹き出し 25"/>
        <xdr:cNvSpPr/>
      </xdr:nvSpPr>
      <xdr:spPr>
        <a:xfrm>
          <a:off x="6237605" y="6493510"/>
          <a:ext cx="2639695" cy="1156970"/>
        </a:xfrm>
        <a:prstGeom prst="wedgeRectCallout">
          <a:avLst>
            <a:gd name="adj1" fmla="val 1142"/>
            <a:gd name="adj2" fmla="val 74817"/>
          </a:avLst>
        </a:prstGeom>
        <a:solidFill>
          <a:srgbClr val="FFFFFF"/>
        </a:solidFill>
        <a:ln w="25400">
          <a:solidFill>
            <a:srgbClr val="000000"/>
          </a:solidFill>
          <a:round/>
        </a:ln>
      </xdr:spPr>
      <xdr:style>
        <a:lnRef idx="2">
          <a:schemeClr val="dk1"/>
        </a:lnRef>
        <a:fillRef idx="1">
          <a:schemeClr val="lt1"/>
        </a:fillRef>
        <a:effectRef idx="0">
          <a:schemeClr val="dk1"/>
        </a:effectRef>
        <a:fontRef idx="minor"/>
      </xdr:style>
      <xdr:txBody>
        <a:bodyPr vertOverflow="clip" horzOverflow="clip" lIns="90000" tIns="45000" rIns="90000" bIns="45000" anchor="t"/>
        <a:lstStyle/>
        <a:p>
          <a:pPr defTabSz="914400">
            <a:lnSpc>
              <a:spcPct val="100000"/>
            </a:lnSpc>
            <a:tabLst>
              <a:tab pos="0" algn="l"/>
            </a:tabLst>
          </a:pPr>
          <a:r>
            <a:rPr lang="ja-JP" sz="1600" b="0" strike="noStrike" spc="-1">
              <a:solidFill>
                <a:schemeClr val="dk1"/>
              </a:solidFill>
              <a:latin typeface="ＭＳ Ｐゴシック"/>
              <a:ea typeface="ＭＳ Ｐゴシック"/>
            </a:rPr>
            <a:t>年度の途中で４０歳になる方、６５歳になる方は、介護納付金分が加入月分の税額となるよう調整を行っています。</a:t>
          </a:r>
          <a:endParaRPr lang="en-US" sz="1600" b="0" strike="noStrike" spc="-1">
            <a:latin typeface="ＭＳ Ｐゴシック"/>
            <a:ea typeface="ＭＳ Ｐゴシック"/>
          </a:endParaRPr>
        </a:p>
      </xdr:txBody>
    </xdr:sp>
    <xdr:clientData/>
  </xdr:twoCellAnchor>
  <xdr:twoCellAnchor>
    <xdr:from xmlns:xdr="http://schemas.openxmlformats.org/drawingml/2006/spreadsheetDrawing">
      <xdr:col>10</xdr:col>
      <xdr:colOff>401955</xdr:colOff>
      <xdr:row>28</xdr:row>
      <xdr:rowOff>27940</xdr:rowOff>
    </xdr:from>
    <xdr:to xmlns:xdr="http://schemas.openxmlformats.org/drawingml/2006/spreadsheetDrawing">
      <xdr:col>38</xdr:col>
      <xdr:colOff>0</xdr:colOff>
      <xdr:row>31</xdr:row>
      <xdr:rowOff>224790</xdr:rowOff>
    </xdr:to>
    <xdr:sp macro="" textlink="">
      <xdr:nvSpPr>
        <xdr:cNvPr id="36" name="四角形吹き出し 40"/>
        <xdr:cNvSpPr/>
      </xdr:nvSpPr>
      <xdr:spPr>
        <a:xfrm>
          <a:off x="9709150" y="10676890"/>
          <a:ext cx="24316055" cy="1539875"/>
        </a:xfrm>
        <a:prstGeom prst="wedgeRectCallout">
          <a:avLst>
            <a:gd name="adj1" fmla="val -62164"/>
            <a:gd name="adj2" fmla="val 53037"/>
          </a:avLst>
        </a:prstGeom>
        <a:solidFill>
          <a:srgbClr val="FFFFFF"/>
        </a:solidFill>
        <a:ln w="25400">
          <a:solidFill>
            <a:srgbClr val="000000"/>
          </a:solidFill>
          <a:round/>
        </a:ln>
      </xdr:spPr>
      <xdr:style>
        <a:lnRef idx="2">
          <a:schemeClr val="dk1"/>
        </a:lnRef>
        <a:fillRef idx="1">
          <a:schemeClr val="lt1"/>
        </a:fillRef>
        <a:effectRef idx="0">
          <a:schemeClr val="dk1"/>
        </a:effectRef>
        <a:fontRef idx="minor"/>
      </xdr:style>
      <xdr:txBody>
        <a:bodyPr vertOverflow="clip" horzOverflow="clip" lIns="90000" tIns="45000" rIns="90000" bIns="45000" anchor="ctr"/>
        <a:lstStyle/>
        <a:p>
          <a:pPr>
            <a:lnSpc>
              <a:spcPct val="100000"/>
            </a:lnSpc>
          </a:pPr>
          <a:r>
            <a:rPr lang="ja-JP" sz="1600" b="0" strike="noStrike" spc="-1">
              <a:solidFill>
                <a:schemeClr val="dk1"/>
              </a:solidFill>
              <a:latin typeface="ＭＳ Ｐゴシック"/>
              <a:ea typeface="ＭＳ Ｐゴシック"/>
            </a:rPr>
            <a:t>軽減判定用所得金額は、加入者と世帯主の総所得金額の合計です。ただし、６５歳以上に公的年金特別控除（</a:t>
          </a:r>
          <a:r>
            <a:rPr lang="en-US" sz="1600" b="0" strike="noStrike" spc="-1">
              <a:solidFill>
                <a:schemeClr val="dk1"/>
              </a:solidFill>
              <a:latin typeface="ＭＳ Ｐゴシック"/>
              <a:ea typeface="ＭＳ Ｐゴシック"/>
            </a:rPr>
            <a:t>15</a:t>
          </a:r>
          <a:r>
            <a:rPr lang="ja-JP" sz="1600" b="0" strike="noStrike" spc="-1">
              <a:solidFill>
                <a:schemeClr val="dk1"/>
              </a:solidFill>
              <a:latin typeface="ＭＳ Ｐゴシック"/>
              <a:ea typeface="ＭＳ Ｐゴシック"/>
            </a:rPr>
            <a:t>万円）が適用されます。</a:t>
          </a:r>
          <a:endParaRPr lang="en-US" sz="1600" b="0" strike="noStrike" spc="-1">
            <a:latin typeface="ＭＳ Ｐゴシック"/>
            <a:ea typeface="ＭＳ Ｐゴシック"/>
          </a:endParaRPr>
        </a:p>
      </xdr:txBody>
    </xdr:sp>
    <xdr:clientData/>
  </xdr:twoCellAnchor>
  <xdr:twoCellAnchor editAs="oneCell">
    <xdr:from xmlns:xdr="http://schemas.openxmlformats.org/drawingml/2006/spreadsheetDrawing">
      <xdr:col>1</xdr:col>
      <xdr:colOff>158750</xdr:colOff>
      <xdr:row>21</xdr:row>
      <xdr:rowOff>71120</xdr:rowOff>
    </xdr:from>
    <xdr:to xmlns:xdr="http://schemas.openxmlformats.org/drawingml/2006/spreadsheetDrawing">
      <xdr:col>6</xdr:col>
      <xdr:colOff>631825</xdr:colOff>
      <xdr:row>21</xdr:row>
      <xdr:rowOff>1731645</xdr:rowOff>
    </xdr:to>
    <xdr:pic macro="">
      <xdr:nvPicPr>
        <xdr:cNvPr id="7" name="図 6"/>
        <xdr:cNvPicPr>
          <a:picLocks noChangeAspect="1" noChangeArrowheads="1"/>
        </xdr:cNvPicPr>
      </xdr:nvPicPr>
      <xdr:blipFill>
        <a:blip xmlns:r="http://schemas.openxmlformats.org/officeDocument/2006/relationships" r:embed="rId1"/>
        <a:stretch>
          <a:fillRect/>
        </a:stretch>
      </xdr:blipFill>
      <xdr:spPr>
        <a:xfrm>
          <a:off x="389890" y="6224270"/>
          <a:ext cx="4972685" cy="16605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5</xdr:col>
      <xdr:colOff>22860</xdr:colOff>
      <xdr:row>2</xdr:row>
      <xdr:rowOff>41275</xdr:rowOff>
    </xdr:from>
    <xdr:to xmlns:xdr="http://schemas.openxmlformats.org/drawingml/2006/spreadsheetDrawing">
      <xdr:col>8</xdr:col>
      <xdr:colOff>563245</xdr:colOff>
      <xdr:row>5</xdr:row>
      <xdr:rowOff>205105</xdr:rowOff>
    </xdr:to>
    <xdr:sp macro="" textlink="">
      <xdr:nvSpPr>
        <xdr:cNvPr id="40" name="左矢印吹き出し 2"/>
        <xdr:cNvSpPr/>
      </xdr:nvSpPr>
      <xdr:spPr>
        <a:xfrm>
          <a:off x="3930650" y="479425"/>
          <a:ext cx="3077210" cy="821055"/>
        </a:xfrm>
        <a:prstGeom prst="leftArrowCallout">
          <a:avLst>
            <a:gd name="adj1" fmla="val 23611"/>
            <a:gd name="adj2" fmla="val 25000"/>
            <a:gd name="adj3" fmla="val 25000"/>
            <a:gd name="adj4" fmla="val 84594"/>
          </a:avLst>
        </a:prstGeom>
        <a:gradFill rotWithShape="0">
          <a:gsLst>
            <a:gs pos="0">
              <a:srgbClr val="D9FDA6"/>
            </a:gs>
            <a:gs pos="35000">
              <a:srgbClr val="E3FBC2"/>
            </a:gs>
            <a:gs pos="100000">
              <a:srgbClr val="F4FFE6"/>
            </a:gs>
          </a:gsLst>
          <a:lin ang="16200000" scaled="0"/>
          <a:tileRect/>
        </a:gradFill>
        <a:ln w="9525">
          <a:solidFill>
            <a:srgbClr val="98B855"/>
          </a:solidFill>
          <a:round/>
        </a:ln>
        <a:effectLst>
          <a:outerShdw blurRad="39960" dist="20160" dir="5400000" rotWithShape="0">
            <a:srgbClr val="000000">
              <a:alpha val="38000"/>
            </a:srgbClr>
          </a:outerShdw>
        </a:effectLst>
      </xdr:spPr>
      <xdr:style>
        <a:lnRef idx="1">
          <a:schemeClr val="accent3"/>
        </a:lnRef>
        <a:fillRef idx="2">
          <a:schemeClr val="accent3"/>
        </a:fillRef>
        <a:effectRef idx="1">
          <a:schemeClr val="accent3"/>
        </a:effectRef>
        <a:fontRef idx="minor"/>
      </xdr:style>
      <xdr:txBody>
        <a:bodyPr vertOverflow="clip" horzOverflow="clip" lIns="90000" tIns="45000" rIns="90000" bIns="45000" anchor="t"/>
        <a:lstStyle/>
        <a:p>
          <a:pPr>
            <a:lnSpc>
              <a:spcPct val="100000"/>
            </a:lnSpc>
          </a:pPr>
          <a:r>
            <a:rPr lang="ja-JP" sz="1100" b="0" strike="noStrike" spc="-1">
              <a:solidFill>
                <a:schemeClr val="dk1"/>
              </a:solidFill>
              <a:latin typeface="Calibri"/>
            </a:rPr>
            <a:t>年度、税率、各金額、限度額を入力</a:t>
          </a:r>
          <a:endParaRPr lang="en-US" sz="1100" b="0" strike="noStrike" spc="-1">
            <a:latin typeface="游明朝"/>
          </a:endParaRPr>
        </a:p>
        <a:p>
          <a:pPr>
            <a:lnSpc>
              <a:spcPct val="100000"/>
            </a:lnSpc>
          </a:pPr>
          <a:r>
            <a:rPr lang="en-US" sz="1000" b="0" strike="noStrike" spc="-1">
              <a:solidFill>
                <a:schemeClr val="dk1"/>
              </a:solidFill>
              <a:latin typeface="Calibri"/>
            </a:rPr>
            <a:t>※</a:t>
          </a:r>
          <a:r>
            <a:rPr lang="ja-JP" sz="1000" b="0" strike="noStrike" spc="-1">
              <a:solidFill>
                <a:schemeClr val="dk1"/>
              </a:solidFill>
              <a:latin typeface="Calibri"/>
            </a:rPr>
            <a:t>子ども・子育て支援納付金分の均等割額は、「均等割額」と「</a:t>
          </a:r>
          <a:r>
            <a:rPr lang="en-US" sz="1000" b="0" strike="noStrike" spc="-1">
              <a:solidFill>
                <a:schemeClr val="dk1"/>
              </a:solidFill>
              <a:latin typeface="Calibri"/>
            </a:rPr>
            <a:t>18</a:t>
          </a:r>
          <a:r>
            <a:rPr lang="ja-JP" sz="1000" b="0" strike="noStrike" spc="-1">
              <a:solidFill>
                <a:schemeClr val="dk1"/>
              </a:solidFill>
              <a:latin typeface="Calibri"/>
            </a:rPr>
            <a:t>歳以上均等割額」の合計を入力すること</a:t>
          </a:r>
          <a:endParaRPr lang="en-US" sz="1000" b="0" strike="noStrike" spc="-1">
            <a:latin typeface="游明朝"/>
          </a:endParaRPr>
        </a:p>
      </xdr:txBody>
    </xdr:sp>
    <xdr:clientData/>
  </xdr:twoCellAnchor>
  <xdr:twoCellAnchor editAs="oneCell">
    <xdr:from xmlns:xdr="http://schemas.openxmlformats.org/drawingml/2006/spreadsheetDrawing">
      <xdr:col>10</xdr:col>
      <xdr:colOff>146050</xdr:colOff>
      <xdr:row>11</xdr:row>
      <xdr:rowOff>33655</xdr:rowOff>
    </xdr:from>
    <xdr:to xmlns:xdr="http://schemas.openxmlformats.org/drawingml/2006/spreadsheetDrawing">
      <xdr:col>14</xdr:col>
      <xdr:colOff>738505</xdr:colOff>
      <xdr:row>13</xdr:row>
      <xdr:rowOff>88265</xdr:rowOff>
    </xdr:to>
    <xdr:sp macro="" textlink="">
      <xdr:nvSpPr>
        <xdr:cNvPr id="41" name="左矢印吹き出し 3"/>
        <xdr:cNvSpPr/>
      </xdr:nvSpPr>
      <xdr:spPr>
        <a:xfrm>
          <a:off x="8253095" y="2348230"/>
          <a:ext cx="3917315" cy="492760"/>
        </a:xfrm>
        <a:prstGeom prst="leftArrowCallout">
          <a:avLst>
            <a:gd name="adj1" fmla="val 23611"/>
            <a:gd name="adj2" fmla="val 25000"/>
            <a:gd name="adj3" fmla="val 25000"/>
            <a:gd name="adj4" fmla="val 84594"/>
          </a:avLst>
        </a:prstGeom>
        <a:gradFill rotWithShape="0">
          <a:gsLst>
            <a:gs pos="0">
              <a:srgbClr val="D9FDA6"/>
            </a:gs>
            <a:gs pos="35000">
              <a:srgbClr val="E3FBC2"/>
            </a:gs>
            <a:gs pos="100000">
              <a:srgbClr val="F4FFE6"/>
            </a:gs>
          </a:gsLst>
          <a:lin ang="16200000" scaled="0"/>
          <a:tileRect/>
        </a:gradFill>
        <a:ln w="9525">
          <a:solidFill>
            <a:srgbClr val="98B855"/>
          </a:solidFill>
          <a:round/>
        </a:ln>
        <a:effectLst>
          <a:outerShdw blurRad="39960" dist="20160" dir="5400000" rotWithShape="0">
            <a:srgbClr val="000000">
              <a:alpha val="38000"/>
            </a:srgbClr>
          </a:outerShdw>
        </a:effectLst>
      </xdr:spPr>
      <xdr:style>
        <a:lnRef idx="1">
          <a:schemeClr val="accent3"/>
        </a:lnRef>
        <a:fillRef idx="2">
          <a:schemeClr val="accent3"/>
        </a:fillRef>
        <a:effectRef idx="1">
          <a:schemeClr val="accent3"/>
        </a:effectRef>
        <a:fontRef idx="minor"/>
      </xdr:style>
      <xdr:txBody>
        <a:bodyPr vertOverflow="clip" horzOverflow="clip" lIns="90000" tIns="45000" rIns="90000" bIns="45000" anchor="t"/>
        <a:lstStyle/>
        <a:p>
          <a:pPr>
            <a:lnSpc>
              <a:spcPct val="100000"/>
            </a:lnSpc>
          </a:pPr>
          <a:r>
            <a:rPr lang="ja-JP" sz="1100" b="0" strike="noStrike" spc="-1">
              <a:solidFill>
                <a:schemeClr val="dk1"/>
              </a:solidFill>
              <a:latin typeface="Calibri"/>
            </a:rPr>
            <a:t>税法等改正により軽減判定基準額の算出に用いる加除額が変更となったら数値を入力</a:t>
          </a:r>
          <a:endParaRPr lang="en-US" sz="1100" b="0" strike="noStrike" spc="-1">
            <a:latin typeface="游明朝"/>
          </a:endParaRPr>
        </a:p>
      </xdr:txBody>
    </xdr:sp>
    <xdr:clientData/>
  </xdr:twoCellAnchor>
  <xdr:twoCellAnchor editAs="oneCell">
    <xdr:from xmlns:xdr="http://schemas.openxmlformats.org/drawingml/2006/spreadsheetDrawing">
      <xdr:col>2</xdr:col>
      <xdr:colOff>41275</xdr:colOff>
      <xdr:row>7</xdr:row>
      <xdr:rowOff>3175</xdr:rowOff>
    </xdr:from>
    <xdr:to xmlns:xdr="http://schemas.openxmlformats.org/drawingml/2006/spreadsheetDrawing">
      <xdr:col>5</xdr:col>
      <xdr:colOff>831215</xdr:colOff>
      <xdr:row>7</xdr:row>
      <xdr:rowOff>212090</xdr:rowOff>
    </xdr:to>
    <xdr:sp macro="" textlink="">
      <xdr:nvSpPr>
        <xdr:cNvPr id="42" name="左矢印吹き出し 5"/>
        <xdr:cNvSpPr/>
      </xdr:nvSpPr>
      <xdr:spPr>
        <a:xfrm>
          <a:off x="1661160" y="1489075"/>
          <a:ext cx="3077845" cy="208915"/>
        </a:xfrm>
        <a:prstGeom prst="leftArrowCallout">
          <a:avLst>
            <a:gd name="adj1" fmla="val 23611"/>
            <a:gd name="adj2" fmla="val 25000"/>
            <a:gd name="adj3" fmla="val 25000"/>
            <a:gd name="adj4" fmla="val 84594"/>
          </a:avLst>
        </a:prstGeom>
        <a:gradFill rotWithShape="0">
          <a:gsLst>
            <a:gs pos="0">
              <a:srgbClr val="D9FDA6"/>
            </a:gs>
            <a:gs pos="35000">
              <a:srgbClr val="E3FBC2"/>
            </a:gs>
            <a:gs pos="100000">
              <a:srgbClr val="F4FFE6"/>
            </a:gs>
          </a:gsLst>
          <a:lin ang="16200000" scaled="0"/>
          <a:tileRect/>
        </a:gradFill>
        <a:ln w="9525">
          <a:solidFill>
            <a:srgbClr val="98B855"/>
          </a:solidFill>
          <a:round/>
        </a:ln>
        <a:effectLst>
          <a:outerShdw blurRad="39960" dist="20160" dir="5400000" rotWithShape="0">
            <a:srgbClr val="000000">
              <a:alpha val="38000"/>
            </a:srgbClr>
          </a:outerShdw>
        </a:effectLst>
      </xdr:spPr>
      <xdr:style>
        <a:lnRef idx="1">
          <a:schemeClr val="accent3"/>
        </a:lnRef>
        <a:fillRef idx="2">
          <a:schemeClr val="accent3"/>
        </a:fillRef>
        <a:effectRef idx="1">
          <a:schemeClr val="accent3"/>
        </a:effectRef>
        <a:fontRef idx="minor"/>
      </xdr:style>
      <xdr:txBody>
        <a:bodyPr vertOverflow="clip" horzOverflow="clip" lIns="90000" tIns="45000" rIns="90000" bIns="45000" anchor="ctr"/>
        <a:lstStyle/>
        <a:p>
          <a:pPr>
            <a:lnSpc>
              <a:spcPct val="100000"/>
            </a:lnSpc>
          </a:pPr>
          <a:r>
            <a:rPr lang="ja-JP" sz="1100" b="0" strike="noStrike" spc="-1">
              <a:solidFill>
                <a:schemeClr val="dk1"/>
              </a:solidFill>
              <a:latin typeface="Calibri"/>
            </a:rPr>
            <a:t>年齢判定基準日は１月１日</a:t>
          </a:r>
          <a:endParaRPr lang="en-US" sz="1100" b="0" strike="noStrike" spc="-1">
            <a:latin typeface="游明朝"/>
          </a:endParaRPr>
        </a:p>
      </xdr:txBody>
    </xdr:sp>
    <xdr:clientData/>
  </xdr:twoCellAnchor>
  <xdr:twoCellAnchor editAs="oneCell">
    <xdr:from xmlns:xdr="http://schemas.openxmlformats.org/drawingml/2006/spreadsheetDrawing">
      <xdr:col>2</xdr:col>
      <xdr:colOff>55245</xdr:colOff>
      <xdr:row>8</xdr:row>
      <xdr:rowOff>22225</xdr:rowOff>
    </xdr:from>
    <xdr:to xmlns:xdr="http://schemas.openxmlformats.org/drawingml/2006/spreadsheetDrawing">
      <xdr:col>6</xdr:col>
      <xdr:colOff>3175</xdr:colOff>
      <xdr:row>9</xdr:row>
      <xdr:rowOff>8255</xdr:rowOff>
    </xdr:to>
    <xdr:sp macro="" textlink="">
      <xdr:nvSpPr>
        <xdr:cNvPr id="43" name="左矢印吹き出し 6"/>
        <xdr:cNvSpPr/>
      </xdr:nvSpPr>
      <xdr:spPr>
        <a:xfrm>
          <a:off x="1675130" y="1727200"/>
          <a:ext cx="3067050" cy="205105"/>
        </a:xfrm>
        <a:prstGeom prst="leftArrowCallout">
          <a:avLst>
            <a:gd name="adj1" fmla="val 23611"/>
            <a:gd name="adj2" fmla="val 25000"/>
            <a:gd name="adj3" fmla="val 25000"/>
            <a:gd name="adj4" fmla="val 84594"/>
          </a:avLst>
        </a:prstGeom>
        <a:gradFill rotWithShape="0">
          <a:gsLst>
            <a:gs pos="0">
              <a:srgbClr val="D9FDA6"/>
            </a:gs>
            <a:gs pos="35000">
              <a:srgbClr val="E3FBC2"/>
            </a:gs>
            <a:gs pos="100000">
              <a:srgbClr val="F4FFE6"/>
            </a:gs>
          </a:gsLst>
          <a:lin ang="16200000" scaled="0"/>
          <a:tileRect/>
        </a:gradFill>
        <a:ln w="9525">
          <a:solidFill>
            <a:srgbClr val="98B855"/>
          </a:solidFill>
          <a:round/>
        </a:ln>
        <a:effectLst>
          <a:outerShdw blurRad="39960" dist="20160" dir="5400000" rotWithShape="0">
            <a:srgbClr val="000000">
              <a:alpha val="38000"/>
            </a:srgbClr>
          </a:outerShdw>
        </a:effectLst>
      </xdr:spPr>
      <xdr:style>
        <a:lnRef idx="1">
          <a:schemeClr val="accent3"/>
        </a:lnRef>
        <a:fillRef idx="2">
          <a:schemeClr val="accent3"/>
        </a:fillRef>
        <a:effectRef idx="1">
          <a:schemeClr val="accent3"/>
        </a:effectRef>
        <a:fontRef idx="minor"/>
      </xdr:style>
      <xdr:txBody>
        <a:bodyPr vertOverflow="clip" horzOverflow="clip" lIns="90000" tIns="45000" rIns="90000" bIns="45000" anchor="ctr"/>
        <a:lstStyle/>
        <a:p>
          <a:pPr>
            <a:lnSpc>
              <a:spcPct val="100000"/>
            </a:lnSpc>
          </a:pPr>
          <a:r>
            <a:rPr lang="ja-JP" sz="1100" b="0" strike="noStrike" spc="-1">
              <a:solidFill>
                <a:schemeClr val="dk1"/>
              </a:solidFill>
              <a:latin typeface="Calibri"/>
            </a:rPr>
            <a:t>年齢判定基準日は４月１日</a:t>
          </a:r>
          <a:endParaRPr lang="en-US" sz="1100" b="0" strike="noStrike" spc="-1">
            <a:latin typeface="游明朝"/>
          </a:endParaRPr>
        </a:p>
      </xdr:txBody>
    </xdr:sp>
    <xdr:clientData/>
  </xdr:twoCellAnchor>
</xdr:wsDr>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na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
  <sheetViews>
    <sheetView view="pageBreakPreview" topLeftCell="A13" zoomScale="85" zoomScaleSheetLayoutView="85" workbookViewId="0">
      <selection activeCell="K19" sqref="K19"/>
    </sheetView>
  </sheetViews>
  <sheetFormatPr defaultColWidth="8.5" defaultRowHeight="13.5"/>
  <sheetData/>
  <sheetProtection algorithmName="SHA-512" hashValue="tfwskfLhT84VEpFS4ubrScNmOnx+2MDXCswhCszzxmIjO4TJ/TyqKhTE2k5WEeWlYaGRBy65B2jSUu4MSDSY6Q==" saltValue="4b6vjrscAvEvm4ZGPv7O2A==" spinCount="100000" sheet="1" objects="1" scenarios="1" selectLockedCells="1" selectUnlockedCells="1"/>
  <phoneticPr fontId="1" type="Hiragana"/>
  <pageMargins left="0.25" right="0.25" top="0.75" bottom="0.75" header="0.511811023622047" footer="0.511811023622047"/>
  <pageSetup paperSize="8" fitToWidth="1" fitToHeight="1" orientation="landscape" usePrinterDefaults="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rgb="FFFF0000"/>
    <pageSetUpPr fitToPage="1"/>
  </sheetPr>
  <dimension ref="B2:AL43"/>
  <sheetViews>
    <sheetView tabSelected="1" view="pageBreakPreview" zoomScale="55" zoomScaleNormal="55" zoomScaleSheetLayoutView="55" workbookViewId="0">
      <selection activeCell="G6" sqref="G6:K6"/>
    </sheetView>
  </sheetViews>
  <sheetFormatPr defaultColWidth="13" defaultRowHeight="14.4" zeroHeight="1"/>
  <cols>
    <col min="1" max="1" width="3.375" style="1" customWidth="1"/>
    <col min="2" max="2" width="21.125" style="1" customWidth="1"/>
    <col min="3" max="3" width="17.625" style="1" customWidth="1"/>
    <col min="4" max="4" width="8.375" style="1" customWidth="1"/>
    <col min="5" max="6" width="9.25" style="1" customWidth="1"/>
    <col min="7" max="9" width="16.375" style="1" customWidth="1"/>
    <col min="10" max="10" width="17.625" style="1" customWidth="1"/>
    <col min="11" max="13" width="15.875" style="1" customWidth="1"/>
    <col min="14" max="14" width="29.875" style="1" hidden="1" customWidth="1" outlineLevel="1"/>
    <col min="15" max="15" width="52.75" style="1" hidden="1" customWidth="1" outlineLevel="1"/>
    <col min="16" max="21" width="10.5" style="1" hidden="1" bestFit="1" customWidth="1" outlineLevel="1"/>
    <col min="22" max="24" width="10.625" style="1" hidden="1" bestFit="1" customWidth="1" outlineLevel="1"/>
    <col min="25" max="27" width="10.5" style="1" hidden="1" bestFit="1" customWidth="1" outlineLevel="1"/>
    <col min="28" max="28" width="10.125" style="1" hidden="1" bestFit="1" customWidth="1" outlineLevel="1"/>
    <col min="29" max="29" width="14.875" style="1" hidden="1" bestFit="1" customWidth="1" outlineLevel="1"/>
    <col min="30" max="30" width="10.125" style="1" hidden="1" bestFit="1" customWidth="1" outlineLevel="1"/>
    <col min="31" max="36" width="7.125" style="1" hidden="1" customWidth="1" outlineLevel="1"/>
    <col min="37" max="38" width="13" style="1" hidden="1" customWidth="1" outlineLevel="1"/>
    <col min="39" max="39" width="13" style="1" customWidth="0" collapsed="1"/>
    <col min="40" max="16384" width="13" style="1"/>
  </cols>
  <sheetData>
    <row r="1" spans="2:38" ht="39.75" customHeight="1"/>
    <row r="2" spans="2:38" ht="39.75" customHeight="1">
      <c r="B2" s="3" t="s">
        <v>0</v>
      </c>
      <c r="C2" s="15">
        <f>基礎情報!A1</f>
        <v>46023</v>
      </c>
      <c r="D2" s="20" t="s">
        <v>1</v>
      </c>
      <c r="E2" s="15" t="str">
        <f>TEXT(DATE(YEAR(C2),4,1),"GGGE年M月D日")&amp;"～"&amp;TEXT(DATE(YEAR(C2)+1,3,31),"GGGE年M月D日")&amp;""</f>
        <v>令和8年4月1日～令和9年3月31日</v>
      </c>
      <c r="F2" s="15"/>
      <c r="G2" s="15"/>
      <c r="H2" s="15"/>
    </row>
    <row r="3" spans="2:38" ht="39.75" customHeight="1"/>
    <row r="4" spans="2:38" ht="24" customHeight="1">
      <c r="B4" s="4" t="s">
        <v>4</v>
      </c>
      <c r="C4" s="16"/>
      <c r="D4" s="16"/>
      <c r="E4" s="16"/>
      <c r="F4" s="16"/>
      <c r="G4" s="16"/>
      <c r="H4" s="16"/>
      <c r="I4" s="16"/>
      <c r="J4" s="16"/>
      <c r="K4" s="16"/>
      <c r="L4" s="16"/>
      <c r="M4" s="16"/>
      <c r="N4" s="53"/>
    </row>
    <row r="5" spans="2:38" ht="16.5" customHeight="1"/>
    <row r="6" spans="2:38" s="2" customFormat="1" ht="22.5" customHeight="1">
      <c r="B6" s="5" t="s">
        <v>7</v>
      </c>
      <c r="C6" s="5"/>
      <c r="D6" s="5"/>
      <c r="E6" s="5"/>
      <c r="F6" s="5"/>
      <c r="G6" s="25" t="s">
        <v>11</v>
      </c>
      <c r="H6" s="25"/>
      <c r="I6" s="25"/>
      <c r="J6" s="25"/>
      <c r="K6" s="25"/>
      <c r="L6" s="52"/>
      <c r="M6" s="52"/>
      <c r="N6" s="52"/>
    </row>
    <row r="7" spans="2:38" ht="16.5" customHeight="1">
      <c r="J7" s="39"/>
      <c r="P7" s="58">
        <f>EOMONTH(基礎情報!$B$8,3)</f>
        <v>46142</v>
      </c>
      <c r="Q7" s="58">
        <f>EOMONTH(基礎情報!$B$8,4)</f>
        <v>46173</v>
      </c>
      <c r="R7" s="58">
        <f>EOMONTH(基礎情報!$B$8,5)</f>
        <v>46203</v>
      </c>
      <c r="S7" s="58">
        <f>EOMONTH(基礎情報!$B$8,6)</f>
        <v>46234</v>
      </c>
      <c r="T7" s="58">
        <f>EOMONTH(基礎情報!$B$8,7)</f>
        <v>46265</v>
      </c>
      <c r="U7" s="58">
        <f>EOMONTH(基礎情報!$B$8,8)</f>
        <v>46295</v>
      </c>
      <c r="V7" s="58">
        <f>EOMONTH(基礎情報!$B$8,9)</f>
        <v>46326</v>
      </c>
      <c r="W7" s="58">
        <f>EOMONTH(基礎情報!$B$8,10)</f>
        <v>46356</v>
      </c>
      <c r="X7" s="58">
        <f>EOMONTH(基礎情報!$B$8,11)</f>
        <v>46387</v>
      </c>
      <c r="Y7" s="58">
        <f>EOMONTH(基礎情報!$B$8,12)</f>
        <v>46418</v>
      </c>
      <c r="Z7" s="58">
        <f>EOMONTH(基礎情報!$B$8,13)</f>
        <v>46446</v>
      </c>
      <c r="AA7" s="58">
        <f>EOMONTH(基礎情報!$B$8,14)</f>
        <v>46477</v>
      </c>
      <c r="AB7" s="64"/>
      <c r="AC7" s="64"/>
      <c r="AD7" s="64"/>
    </row>
    <row r="8" spans="2:38" ht="32.25" customHeight="1">
      <c r="B8" s="6" t="s">
        <v>9</v>
      </c>
      <c r="C8" s="6" t="s">
        <v>3</v>
      </c>
      <c r="D8" s="21" t="s">
        <v>8</v>
      </c>
      <c r="E8" s="21" t="s">
        <v>12</v>
      </c>
      <c r="F8" s="21" t="s">
        <v>13</v>
      </c>
      <c r="G8" s="6" t="s">
        <v>17</v>
      </c>
      <c r="H8" s="6" t="s">
        <v>19</v>
      </c>
      <c r="I8" s="37" t="s">
        <v>23</v>
      </c>
      <c r="J8" s="37" t="s">
        <v>21</v>
      </c>
      <c r="K8" s="6" t="s">
        <v>2</v>
      </c>
      <c r="L8" s="6" t="s">
        <v>24</v>
      </c>
      <c r="M8" s="37" t="s">
        <v>16</v>
      </c>
      <c r="N8" s="54" t="s">
        <v>25</v>
      </c>
      <c r="O8" s="57" t="s">
        <v>22</v>
      </c>
      <c r="P8" s="59" t="s">
        <v>27</v>
      </c>
      <c r="Q8" s="59" t="s">
        <v>29</v>
      </c>
      <c r="R8" s="59" t="s">
        <v>31</v>
      </c>
      <c r="S8" s="59" t="s">
        <v>10</v>
      </c>
      <c r="T8" s="59" t="s">
        <v>33</v>
      </c>
      <c r="U8" s="59" t="s">
        <v>32</v>
      </c>
      <c r="V8" s="59" t="s">
        <v>34</v>
      </c>
      <c r="W8" s="59" t="s">
        <v>36</v>
      </c>
      <c r="X8" s="59" t="s">
        <v>38</v>
      </c>
      <c r="Y8" s="59" t="s">
        <v>41</v>
      </c>
      <c r="Z8" s="59" t="s">
        <v>6</v>
      </c>
      <c r="AA8" s="59" t="s">
        <v>42</v>
      </c>
      <c r="AB8" s="59" t="s">
        <v>45</v>
      </c>
      <c r="AC8" s="59" t="s">
        <v>20</v>
      </c>
      <c r="AD8" s="65" t="s">
        <v>48</v>
      </c>
      <c r="AE8" s="1" t="s">
        <v>50</v>
      </c>
      <c r="AF8" s="1" t="s">
        <v>18</v>
      </c>
      <c r="AG8" s="1" t="s">
        <v>51</v>
      </c>
      <c r="AH8" s="1" t="s">
        <v>15</v>
      </c>
      <c r="AI8" s="1" t="s">
        <v>52</v>
      </c>
      <c r="AJ8" s="1" t="s">
        <v>44</v>
      </c>
      <c r="AK8" s="1" t="s">
        <v>47</v>
      </c>
      <c r="AL8" s="1" t="s">
        <v>53</v>
      </c>
    </row>
    <row r="9" spans="2:38" ht="18.75" customHeight="1">
      <c r="B9" s="7" t="s">
        <v>28</v>
      </c>
      <c r="C9" s="17"/>
      <c r="D9" s="22" t="str">
        <f>IF(C9="","",DATEDIF(C9,基礎情報!$B$8,"Y"))</f>
        <v/>
      </c>
      <c r="E9" s="22" t="str">
        <f t="shared" ref="E9:E16" si="0">IF(AA9="","",IF(AA9&lt;=6,"該当",""))</f>
        <v/>
      </c>
      <c r="F9" s="22" t="str">
        <f t="shared" ref="F9:F16" si="1">IF(AA9="","",IF(AA9&gt;=19,"該当",""))</f>
        <v/>
      </c>
      <c r="G9" s="26"/>
      <c r="H9" s="35">
        <f>給与所得!E2</f>
        <v>0</v>
      </c>
      <c r="I9" s="26"/>
      <c r="J9" s="35">
        <f>年金所得!G3</f>
        <v>0</v>
      </c>
      <c r="K9" s="26"/>
      <c r="L9" s="35">
        <f t="shared" ref="L9:L16" si="2">MAX(SUM(H9,J9,K9),0)-IF(N9=1,MIN(H9,100000)+MIN(J9,100000)-100000,0)</f>
        <v>0</v>
      </c>
      <c r="M9" s="35">
        <f>IF($G$6="加入する",MAX(0,$L$9-430000),0)</f>
        <v>0</v>
      </c>
      <c r="N9" s="55">
        <f t="shared" ref="N9:N16" si="3">IF(AND(H9&gt;0,J9&gt;0,H9+J9&gt;100000),1,0)</f>
        <v>0</v>
      </c>
      <c r="O9" s="1" t="str">
        <f t="shared" ref="O9:O16" si="4">IF(D9&lt;=64,IF(OR(G9&gt;650000,I9&gt;600000),1,""),IF(OR(G9&gt;650000,I9&gt;1100000),1,""))</f>
        <v/>
      </c>
      <c r="P9" s="60" t="str">
        <f t="shared" ref="P9:AA9" si="5">IFERROR(DATEDIF($C$9-1,P7,"Y"),"")</f>
        <v/>
      </c>
      <c r="Q9" s="60" t="str">
        <f t="shared" si="5"/>
        <v/>
      </c>
      <c r="R9" s="60" t="str">
        <f t="shared" si="5"/>
        <v/>
      </c>
      <c r="S9" s="60" t="str">
        <f t="shared" si="5"/>
        <v/>
      </c>
      <c r="T9" s="60" t="str">
        <f t="shared" si="5"/>
        <v/>
      </c>
      <c r="U9" s="60" t="str">
        <f t="shared" si="5"/>
        <v/>
      </c>
      <c r="V9" s="60" t="str">
        <f t="shared" si="5"/>
        <v/>
      </c>
      <c r="W9" s="60" t="str">
        <f t="shared" si="5"/>
        <v/>
      </c>
      <c r="X9" s="60" t="str">
        <f t="shared" si="5"/>
        <v/>
      </c>
      <c r="Y9" s="60" t="str">
        <f t="shared" si="5"/>
        <v/>
      </c>
      <c r="Z9" s="60" t="str">
        <f t="shared" si="5"/>
        <v/>
      </c>
      <c r="AA9" s="60" t="str">
        <f t="shared" si="5"/>
        <v/>
      </c>
      <c r="AB9" s="60">
        <f>IF($G$6="加入する",IF($AA9=75,COUNTIFS($P9:$AA9,"&lt;75")+1,COUNTIFS($P9:$AA9,"&lt;75")))</f>
        <v>0</v>
      </c>
      <c r="AC9" s="60">
        <f>IF($G$6="加入する",COUNTIFS($P$9:$AA$9,"&gt;=40",$P$9:$AA$9,"&lt;=64"),0)</f>
        <v>0</v>
      </c>
      <c r="AD9" s="60">
        <f>IF(F9="該当",IF($G$6="加入する",IF($AA9=75,COUNTIFS($P9:$AA9,"&lt;75")+1,COUNTIFS($P9:$AA9,"&lt;75"))),0)</f>
        <v>0</v>
      </c>
      <c r="AE9" s="1">
        <f t="shared" ref="AE9:AE16" si="6">ROUNDUP((M9*$G$25*AB9/12),0)</f>
        <v>0</v>
      </c>
      <c r="AF9" s="1">
        <f t="shared" ref="AF9:AF16" si="7">ROUNDUP($G$27*AB9/12,0)</f>
        <v>0</v>
      </c>
      <c r="AG9" s="1">
        <f t="shared" ref="AG9:AG16" si="8">ROUNDUP((M9*$H$25*AB9/12),0)</f>
        <v>0</v>
      </c>
      <c r="AH9" s="1">
        <f t="shared" ref="AH9:AH16" si="9">ROUNDUP($H$27*AB9/12,0)</f>
        <v>0</v>
      </c>
      <c r="AI9" s="1">
        <f t="shared" ref="AI9:AI16" si="10">ROUNDUP(M9*$I$25*AC9/12,0)</f>
        <v>0</v>
      </c>
      <c r="AJ9" s="1">
        <f t="shared" ref="AJ9:AJ16" si="11">ROUNDUP($I$27*AC9/12,0)</f>
        <v>0</v>
      </c>
      <c r="AK9" s="1">
        <f t="shared" ref="AK9:AK16" si="12">ROUNDUP((M9*$J$25*AB9/12),0)</f>
        <v>0</v>
      </c>
      <c r="AL9" s="1">
        <f t="shared" ref="AL9:AL16" si="13">ROUNDUP($J$27*AD9/12,0)</f>
        <v>0</v>
      </c>
    </row>
    <row r="10" spans="2:38" ht="18.75" customHeight="1">
      <c r="B10" s="7" t="s">
        <v>43</v>
      </c>
      <c r="C10" s="17"/>
      <c r="D10" s="22" t="str">
        <f>IF(C10="","",DATEDIF(C10,基礎情報!$B$8,"Y"))</f>
        <v/>
      </c>
      <c r="E10" s="22" t="str">
        <f t="shared" si="0"/>
        <v/>
      </c>
      <c r="F10" s="22" t="str">
        <f t="shared" si="1"/>
        <v/>
      </c>
      <c r="G10" s="26"/>
      <c r="H10" s="35">
        <f>給与所得!K2</f>
        <v>0</v>
      </c>
      <c r="I10" s="26"/>
      <c r="J10" s="35">
        <f>年金所得!O3</f>
        <v>0</v>
      </c>
      <c r="K10" s="26"/>
      <c r="L10" s="35">
        <f t="shared" si="2"/>
        <v>0</v>
      </c>
      <c r="M10" s="35">
        <f>MAX(0,$L$10-430000)</f>
        <v>0</v>
      </c>
      <c r="N10" s="56">
        <f t="shared" si="3"/>
        <v>0</v>
      </c>
      <c r="O10" s="1" t="str">
        <f t="shared" si="4"/>
        <v/>
      </c>
      <c r="P10" s="60" t="str">
        <f t="shared" ref="P10:AA10" si="14">IFERROR(DATEDIF($C$10-1,P7,"Y"),"")</f>
        <v/>
      </c>
      <c r="Q10" s="60" t="str">
        <f t="shared" si="14"/>
        <v/>
      </c>
      <c r="R10" s="60" t="str">
        <f t="shared" si="14"/>
        <v/>
      </c>
      <c r="S10" s="60" t="str">
        <f t="shared" si="14"/>
        <v/>
      </c>
      <c r="T10" s="60" t="str">
        <f t="shared" si="14"/>
        <v/>
      </c>
      <c r="U10" s="60" t="str">
        <f t="shared" si="14"/>
        <v/>
      </c>
      <c r="V10" s="60" t="str">
        <f t="shared" si="14"/>
        <v/>
      </c>
      <c r="W10" s="60" t="str">
        <f t="shared" si="14"/>
        <v/>
      </c>
      <c r="X10" s="60" t="str">
        <f t="shared" si="14"/>
        <v/>
      </c>
      <c r="Y10" s="60" t="str">
        <f t="shared" si="14"/>
        <v/>
      </c>
      <c r="Z10" s="60" t="str">
        <f t="shared" si="14"/>
        <v/>
      </c>
      <c r="AA10" s="60" t="str">
        <f t="shared" si="14"/>
        <v/>
      </c>
      <c r="AB10" s="60">
        <f t="shared" ref="AB10:AB16" si="15">IF($AA10=75,COUNTIFS($P10:$AA10,"&lt;75")+1,COUNTIFS($P10:$AA10,"&lt;75"))</f>
        <v>0</v>
      </c>
      <c r="AC10" s="60">
        <f>COUNTIFS($P$10:$AA$10,"&gt;=40",$P$10:$AA$10,"&lt;=64")</f>
        <v>0</v>
      </c>
      <c r="AD10" s="60">
        <f t="shared" ref="AD10:AD16" si="16">IF(F10="該当",IF($AA10=75,COUNTIFS($P10:$AA10,"&lt;75")+1,COUNTIFS($P10:$AA10,"&lt;75")),0)</f>
        <v>0</v>
      </c>
      <c r="AE10" s="1">
        <f t="shared" si="6"/>
        <v>0</v>
      </c>
      <c r="AF10" s="1">
        <f t="shared" si="7"/>
        <v>0</v>
      </c>
      <c r="AG10" s="1">
        <f t="shared" si="8"/>
        <v>0</v>
      </c>
      <c r="AH10" s="1">
        <f t="shared" si="9"/>
        <v>0</v>
      </c>
      <c r="AI10" s="1">
        <f t="shared" si="10"/>
        <v>0</v>
      </c>
      <c r="AJ10" s="1">
        <f t="shared" si="11"/>
        <v>0</v>
      </c>
      <c r="AK10" s="1">
        <f t="shared" si="12"/>
        <v>0</v>
      </c>
      <c r="AL10" s="1">
        <f t="shared" si="13"/>
        <v>0</v>
      </c>
    </row>
    <row r="11" spans="2:38" ht="18.75" customHeight="1">
      <c r="B11" s="7" t="s">
        <v>54</v>
      </c>
      <c r="C11" s="17"/>
      <c r="D11" s="22" t="str">
        <f>IF(C11="","",DATEDIF(C11,基礎情報!$B$8,"Y"))</f>
        <v/>
      </c>
      <c r="E11" s="22" t="str">
        <f t="shared" si="0"/>
        <v/>
      </c>
      <c r="F11" s="22" t="str">
        <f t="shared" si="1"/>
        <v/>
      </c>
      <c r="G11" s="26"/>
      <c r="H11" s="35">
        <f>給与所得!Q2</f>
        <v>0</v>
      </c>
      <c r="I11" s="26"/>
      <c r="J11" s="35">
        <f>年金所得!W3</f>
        <v>0</v>
      </c>
      <c r="K11" s="26"/>
      <c r="L11" s="35">
        <f t="shared" si="2"/>
        <v>0</v>
      </c>
      <c r="M11" s="35">
        <f>MAX(0,$L$11-430000)</f>
        <v>0</v>
      </c>
      <c r="N11" s="56">
        <f t="shared" si="3"/>
        <v>0</v>
      </c>
      <c r="O11" s="1" t="str">
        <f t="shared" si="4"/>
        <v/>
      </c>
      <c r="P11" s="60" t="str">
        <f t="shared" ref="P11:AA11" si="17">IFERROR(DATEDIF($C$11-1,P7,"Y"),"")</f>
        <v/>
      </c>
      <c r="Q11" s="60" t="str">
        <f t="shared" si="17"/>
        <v/>
      </c>
      <c r="R11" s="60" t="str">
        <f t="shared" si="17"/>
        <v/>
      </c>
      <c r="S11" s="60" t="str">
        <f t="shared" si="17"/>
        <v/>
      </c>
      <c r="T11" s="60" t="str">
        <f t="shared" si="17"/>
        <v/>
      </c>
      <c r="U11" s="60" t="str">
        <f t="shared" si="17"/>
        <v/>
      </c>
      <c r="V11" s="60" t="str">
        <f t="shared" si="17"/>
        <v/>
      </c>
      <c r="W11" s="60" t="str">
        <f t="shared" si="17"/>
        <v/>
      </c>
      <c r="X11" s="60" t="str">
        <f t="shared" si="17"/>
        <v/>
      </c>
      <c r="Y11" s="60" t="str">
        <f t="shared" si="17"/>
        <v/>
      </c>
      <c r="Z11" s="60" t="str">
        <f t="shared" si="17"/>
        <v/>
      </c>
      <c r="AA11" s="60" t="str">
        <f t="shared" si="17"/>
        <v/>
      </c>
      <c r="AB11" s="60">
        <f t="shared" si="15"/>
        <v>0</v>
      </c>
      <c r="AC11" s="60">
        <f>COUNTIFS($P$11:$AA$11,"&gt;=40",$P$11:$AA$11,"&lt;=64")</f>
        <v>0</v>
      </c>
      <c r="AD11" s="60">
        <f t="shared" si="16"/>
        <v>0</v>
      </c>
      <c r="AE11" s="1">
        <f t="shared" si="6"/>
        <v>0</v>
      </c>
      <c r="AF11" s="1">
        <f t="shared" si="7"/>
        <v>0</v>
      </c>
      <c r="AG11" s="1">
        <f t="shared" si="8"/>
        <v>0</v>
      </c>
      <c r="AH11" s="1">
        <f t="shared" si="9"/>
        <v>0</v>
      </c>
      <c r="AI11" s="1">
        <f t="shared" si="10"/>
        <v>0</v>
      </c>
      <c r="AJ11" s="1">
        <f t="shared" si="11"/>
        <v>0</v>
      </c>
      <c r="AK11" s="1">
        <f t="shared" si="12"/>
        <v>0</v>
      </c>
      <c r="AL11" s="1">
        <f t="shared" si="13"/>
        <v>0</v>
      </c>
    </row>
    <row r="12" spans="2:38" ht="18.75" customHeight="1">
      <c r="B12" s="7" t="s">
        <v>55</v>
      </c>
      <c r="C12" s="17"/>
      <c r="D12" s="22" t="str">
        <f>IF(C12="","",DATEDIF(C12,基礎情報!$B$8,"Y"))</f>
        <v/>
      </c>
      <c r="E12" s="22" t="str">
        <f t="shared" si="0"/>
        <v/>
      </c>
      <c r="F12" s="22" t="str">
        <f t="shared" si="1"/>
        <v/>
      </c>
      <c r="G12" s="26"/>
      <c r="H12" s="35">
        <f>給与所得!W2</f>
        <v>0</v>
      </c>
      <c r="I12" s="26"/>
      <c r="J12" s="35">
        <f>年金所得!AE3</f>
        <v>0</v>
      </c>
      <c r="K12" s="26"/>
      <c r="L12" s="35">
        <f t="shared" si="2"/>
        <v>0</v>
      </c>
      <c r="M12" s="35">
        <f>MAX(0,$L$12-430000)</f>
        <v>0</v>
      </c>
      <c r="N12" s="56">
        <f t="shared" si="3"/>
        <v>0</v>
      </c>
      <c r="O12" s="1" t="str">
        <f t="shared" si="4"/>
        <v/>
      </c>
      <c r="P12" s="60" t="str">
        <f t="shared" ref="P12:AA12" si="18">IFERROR(DATEDIF($C$12-1,P7,"Y"),"")</f>
        <v/>
      </c>
      <c r="Q12" s="60" t="str">
        <f t="shared" si="18"/>
        <v/>
      </c>
      <c r="R12" s="60" t="str">
        <f t="shared" si="18"/>
        <v/>
      </c>
      <c r="S12" s="60" t="str">
        <f t="shared" si="18"/>
        <v/>
      </c>
      <c r="T12" s="60" t="str">
        <f t="shared" si="18"/>
        <v/>
      </c>
      <c r="U12" s="60" t="str">
        <f t="shared" si="18"/>
        <v/>
      </c>
      <c r="V12" s="60" t="str">
        <f t="shared" si="18"/>
        <v/>
      </c>
      <c r="W12" s="60" t="str">
        <f t="shared" si="18"/>
        <v/>
      </c>
      <c r="X12" s="60" t="str">
        <f t="shared" si="18"/>
        <v/>
      </c>
      <c r="Y12" s="60" t="str">
        <f t="shared" si="18"/>
        <v/>
      </c>
      <c r="Z12" s="60" t="str">
        <f t="shared" si="18"/>
        <v/>
      </c>
      <c r="AA12" s="60" t="str">
        <f t="shared" si="18"/>
        <v/>
      </c>
      <c r="AB12" s="60">
        <f t="shared" si="15"/>
        <v>0</v>
      </c>
      <c r="AC12" s="60">
        <f>COUNTIFS($P$12:$AA$12,"&gt;=40",$P$12:$AA$12,"&lt;=64")</f>
        <v>0</v>
      </c>
      <c r="AD12" s="60">
        <f t="shared" si="16"/>
        <v>0</v>
      </c>
      <c r="AE12" s="1">
        <f t="shared" si="6"/>
        <v>0</v>
      </c>
      <c r="AF12" s="1">
        <f t="shared" si="7"/>
        <v>0</v>
      </c>
      <c r="AG12" s="1">
        <f t="shared" si="8"/>
        <v>0</v>
      </c>
      <c r="AH12" s="1">
        <f t="shared" si="9"/>
        <v>0</v>
      </c>
      <c r="AI12" s="1">
        <f t="shared" si="10"/>
        <v>0</v>
      </c>
      <c r="AJ12" s="1">
        <f t="shared" si="11"/>
        <v>0</v>
      </c>
      <c r="AK12" s="1">
        <f t="shared" si="12"/>
        <v>0</v>
      </c>
      <c r="AL12" s="1">
        <f t="shared" si="13"/>
        <v>0</v>
      </c>
    </row>
    <row r="13" spans="2:38" ht="18.75" customHeight="1">
      <c r="B13" s="7" t="s">
        <v>56</v>
      </c>
      <c r="C13" s="17"/>
      <c r="D13" s="22" t="str">
        <f>IF(C13="","",DATEDIF(C13,基礎情報!$B$8,"Y"))</f>
        <v/>
      </c>
      <c r="E13" s="22" t="str">
        <f t="shared" si="0"/>
        <v/>
      </c>
      <c r="F13" s="22" t="str">
        <f t="shared" si="1"/>
        <v/>
      </c>
      <c r="G13" s="26"/>
      <c r="H13" s="35">
        <f>給与所得!E17</f>
        <v>0</v>
      </c>
      <c r="I13" s="26"/>
      <c r="J13" s="35">
        <f>年金所得!AM3</f>
        <v>0</v>
      </c>
      <c r="K13" s="26"/>
      <c r="L13" s="35">
        <f t="shared" si="2"/>
        <v>0</v>
      </c>
      <c r="M13" s="35">
        <f>MAX(0,$L$13-430000)</f>
        <v>0</v>
      </c>
      <c r="N13" s="56">
        <f t="shared" si="3"/>
        <v>0</v>
      </c>
      <c r="O13" s="1" t="str">
        <f t="shared" si="4"/>
        <v/>
      </c>
      <c r="P13" s="60" t="str">
        <f t="shared" ref="P13:AA13" si="19">IFERROR(DATEDIF($C$13-1,P7,"Y"),"")</f>
        <v/>
      </c>
      <c r="Q13" s="60" t="str">
        <f t="shared" si="19"/>
        <v/>
      </c>
      <c r="R13" s="60" t="str">
        <f t="shared" si="19"/>
        <v/>
      </c>
      <c r="S13" s="60" t="str">
        <f t="shared" si="19"/>
        <v/>
      </c>
      <c r="T13" s="60" t="str">
        <f t="shared" si="19"/>
        <v/>
      </c>
      <c r="U13" s="60" t="str">
        <f t="shared" si="19"/>
        <v/>
      </c>
      <c r="V13" s="60" t="str">
        <f t="shared" si="19"/>
        <v/>
      </c>
      <c r="W13" s="60" t="str">
        <f t="shared" si="19"/>
        <v/>
      </c>
      <c r="X13" s="60" t="str">
        <f t="shared" si="19"/>
        <v/>
      </c>
      <c r="Y13" s="60" t="str">
        <f t="shared" si="19"/>
        <v/>
      </c>
      <c r="Z13" s="60" t="str">
        <f t="shared" si="19"/>
        <v/>
      </c>
      <c r="AA13" s="60" t="str">
        <f t="shared" si="19"/>
        <v/>
      </c>
      <c r="AB13" s="60">
        <f t="shared" si="15"/>
        <v>0</v>
      </c>
      <c r="AC13" s="60">
        <f>COUNTIFS($P$13:$AA$13,"&gt;=40",$P$13:$AA$13,"&lt;=64")</f>
        <v>0</v>
      </c>
      <c r="AD13" s="60">
        <f t="shared" si="16"/>
        <v>0</v>
      </c>
      <c r="AE13" s="1">
        <f t="shared" si="6"/>
        <v>0</v>
      </c>
      <c r="AF13" s="1">
        <f t="shared" si="7"/>
        <v>0</v>
      </c>
      <c r="AG13" s="1">
        <f t="shared" si="8"/>
        <v>0</v>
      </c>
      <c r="AH13" s="1">
        <f t="shared" si="9"/>
        <v>0</v>
      </c>
      <c r="AI13" s="1">
        <f t="shared" si="10"/>
        <v>0</v>
      </c>
      <c r="AJ13" s="1">
        <f t="shared" si="11"/>
        <v>0</v>
      </c>
      <c r="AK13" s="1">
        <f t="shared" si="12"/>
        <v>0</v>
      </c>
      <c r="AL13" s="1">
        <f t="shared" si="13"/>
        <v>0</v>
      </c>
    </row>
    <row r="14" spans="2:38" ht="18.75" customHeight="1">
      <c r="B14" s="7" t="s">
        <v>46</v>
      </c>
      <c r="C14" s="17"/>
      <c r="D14" s="22" t="str">
        <f>IF(C14="","",DATEDIF(C14,基礎情報!$B$8,"Y"))</f>
        <v/>
      </c>
      <c r="E14" s="22" t="str">
        <f t="shared" si="0"/>
        <v/>
      </c>
      <c r="F14" s="22" t="str">
        <f t="shared" si="1"/>
        <v/>
      </c>
      <c r="G14" s="26"/>
      <c r="H14" s="35">
        <f>給与所得!K17</f>
        <v>0</v>
      </c>
      <c r="I14" s="26"/>
      <c r="J14" s="35">
        <f>年金所得!$AU$3</f>
        <v>0</v>
      </c>
      <c r="K14" s="26"/>
      <c r="L14" s="35">
        <f t="shared" si="2"/>
        <v>0</v>
      </c>
      <c r="M14" s="35">
        <f>MAX(0,$L$14-430000)</f>
        <v>0</v>
      </c>
      <c r="N14" s="56">
        <f t="shared" si="3"/>
        <v>0</v>
      </c>
      <c r="O14" s="1" t="str">
        <f t="shared" si="4"/>
        <v/>
      </c>
      <c r="P14" s="60" t="str">
        <f t="shared" ref="P14:AA14" si="20">IFERROR(DATEDIF($C$14-1,P7,"Y"),"")</f>
        <v/>
      </c>
      <c r="Q14" s="60" t="str">
        <f t="shared" si="20"/>
        <v/>
      </c>
      <c r="R14" s="60" t="str">
        <f t="shared" si="20"/>
        <v/>
      </c>
      <c r="S14" s="60" t="str">
        <f t="shared" si="20"/>
        <v/>
      </c>
      <c r="T14" s="60" t="str">
        <f t="shared" si="20"/>
        <v/>
      </c>
      <c r="U14" s="60" t="str">
        <f t="shared" si="20"/>
        <v/>
      </c>
      <c r="V14" s="60" t="str">
        <f t="shared" si="20"/>
        <v/>
      </c>
      <c r="W14" s="60" t="str">
        <f t="shared" si="20"/>
        <v/>
      </c>
      <c r="X14" s="60" t="str">
        <f t="shared" si="20"/>
        <v/>
      </c>
      <c r="Y14" s="60" t="str">
        <f t="shared" si="20"/>
        <v/>
      </c>
      <c r="Z14" s="60" t="str">
        <f t="shared" si="20"/>
        <v/>
      </c>
      <c r="AA14" s="60" t="str">
        <f t="shared" si="20"/>
        <v/>
      </c>
      <c r="AB14" s="60">
        <f t="shared" si="15"/>
        <v>0</v>
      </c>
      <c r="AC14" s="60">
        <f>COUNTIFS($P$14:$AA$14,"&gt;=40",$P$14:$AA$14,"&lt;=64")</f>
        <v>0</v>
      </c>
      <c r="AD14" s="60">
        <f t="shared" si="16"/>
        <v>0</v>
      </c>
      <c r="AE14" s="1">
        <f t="shared" si="6"/>
        <v>0</v>
      </c>
      <c r="AF14" s="1">
        <f t="shared" si="7"/>
        <v>0</v>
      </c>
      <c r="AG14" s="1">
        <f t="shared" si="8"/>
        <v>0</v>
      </c>
      <c r="AH14" s="1">
        <f t="shared" si="9"/>
        <v>0</v>
      </c>
      <c r="AI14" s="1">
        <f t="shared" si="10"/>
        <v>0</v>
      </c>
      <c r="AJ14" s="1">
        <f t="shared" si="11"/>
        <v>0</v>
      </c>
      <c r="AK14" s="1">
        <f t="shared" si="12"/>
        <v>0</v>
      </c>
      <c r="AL14" s="1">
        <f t="shared" si="13"/>
        <v>0</v>
      </c>
    </row>
    <row r="15" spans="2:38" ht="18.75" customHeight="1">
      <c r="B15" s="7" t="s">
        <v>57</v>
      </c>
      <c r="C15" s="17"/>
      <c r="D15" s="22" t="str">
        <f>IF(C15="","",DATEDIF(C15,基礎情報!$B$8,"Y"))</f>
        <v/>
      </c>
      <c r="E15" s="22" t="str">
        <f t="shared" si="0"/>
        <v/>
      </c>
      <c r="F15" s="22" t="str">
        <f t="shared" si="1"/>
        <v/>
      </c>
      <c r="G15" s="26"/>
      <c r="H15" s="35">
        <f>給与所得!Q17</f>
        <v>0</v>
      </c>
      <c r="I15" s="26"/>
      <c r="J15" s="35">
        <f>年金所得!BC3</f>
        <v>0</v>
      </c>
      <c r="K15" s="26"/>
      <c r="L15" s="35">
        <f t="shared" si="2"/>
        <v>0</v>
      </c>
      <c r="M15" s="35">
        <f>MAX(0,$L$15-430000)</f>
        <v>0</v>
      </c>
      <c r="N15" s="56">
        <f t="shared" si="3"/>
        <v>0</v>
      </c>
      <c r="O15" s="1" t="str">
        <f t="shared" si="4"/>
        <v/>
      </c>
      <c r="P15" s="60" t="str">
        <f t="shared" ref="P15:AA15" si="21">IFERROR(DATEDIF($C$15-1,P7,"Y"),"")</f>
        <v/>
      </c>
      <c r="Q15" s="60" t="str">
        <f t="shared" si="21"/>
        <v/>
      </c>
      <c r="R15" s="60" t="str">
        <f t="shared" si="21"/>
        <v/>
      </c>
      <c r="S15" s="60" t="str">
        <f t="shared" si="21"/>
        <v/>
      </c>
      <c r="T15" s="60" t="str">
        <f t="shared" si="21"/>
        <v/>
      </c>
      <c r="U15" s="60" t="str">
        <f t="shared" si="21"/>
        <v/>
      </c>
      <c r="V15" s="60" t="str">
        <f t="shared" si="21"/>
        <v/>
      </c>
      <c r="W15" s="60" t="str">
        <f t="shared" si="21"/>
        <v/>
      </c>
      <c r="X15" s="60" t="str">
        <f t="shared" si="21"/>
        <v/>
      </c>
      <c r="Y15" s="60" t="str">
        <f t="shared" si="21"/>
        <v/>
      </c>
      <c r="Z15" s="60" t="str">
        <f t="shared" si="21"/>
        <v/>
      </c>
      <c r="AA15" s="60" t="str">
        <f t="shared" si="21"/>
        <v/>
      </c>
      <c r="AB15" s="60">
        <f t="shared" si="15"/>
        <v>0</v>
      </c>
      <c r="AC15" s="60">
        <f>COUNTIFS($P$15:$AA$15,"&gt;=40",$P$15:$AA$15,"&lt;=64")</f>
        <v>0</v>
      </c>
      <c r="AD15" s="60">
        <f t="shared" si="16"/>
        <v>0</v>
      </c>
      <c r="AE15" s="1">
        <f t="shared" si="6"/>
        <v>0</v>
      </c>
      <c r="AF15" s="1">
        <f t="shared" si="7"/>
        <v>0</v>
      </c>
      <c r="AG15" s="1">
        <f t="shared" si="8"/>
        <v>0</v>
      </c>
      <c r="AH15" s="1">
        <f t="shared" si="9"/>
        <v>0</v>
      </c>
      <c r="AI15" s="1">
        <f t="shared" si="10"/>
        <v>0</v>
      </c>
      <c r="AJ15" s="1">
        <f t="shared" si="11"/>
        <v>0</v>
      </c>
      <c r="AK15" s="1">
        <f t="shared" si="12"/>
        <v>0</v>
      </c>
      <c r="AL15" s="1">
        <f t="shared" si="13"/>
        <v>0</v>
      </c>
    </row>
    <row r="16" spans="2:38" ht="18.75" customHeight="1">
      <c r="B16" s="7" t="s">
        <v>58</v>
      </c>
      <c r="C16" s="17"/>
      <c r="D16" s="22" t="str">
        <f>IF(C16="","",DATEDIF(C16,基礎情報!$B$8,"Y"))</f>
        <v/>
      </c>
      <c r="E16" s="22" t="str">
        <f t="shared" si="0"/>
        <v/>
      </c>
      <c r="F16" s="22" t="str">
        <f t="shared" si="1"/>
        <v/>
      </c>
      <c r="G16" s="26"/>
      <c r="H16" s="35">
        <f>給与所得!W17</f>
        <v>0</v>
      </c>
      <c r="I16" s="26"/>
      <c r="J16" s="35">
        <f>年金所得!BK3</f>
        <v>0</v>
      </c>
      <c r="K16" s="26"/>
      <c r="L16" s="35">
        <f t="shared" si="2"/>
        <v>0</v>
      </c>
      <c r="M16" s="35">
        <f>MAX(0,$L$16-430000)</f>
        <v>0</v>
      </c>
      <c r="N16" s="56">
        <f t="shared" si="3"/>
        <v>0</v>
      </c>
      <c r="O16" s="1" t="str">
        <f t="shared" si="4"/>
        <v/>
      </c>
      <c r="P16" s="60" t="str">
        <f t="shared" ref="P16:AA16" si="22">IFERROR(DATEDIF($C$16-1,P7,"Y"),"")</f>
        <v/>
      </c>
      <c r="Q16" s="60" t="str">
        <f t="shared" si="22"/>
        <v/>
      </c>
      <c r="R16" s="60" t="str">
        <f t="shared" si="22"/>
        <v/>
      </c>
      <c r="S16" s="60" t="str">
        <f t="shared" si="22"/>
        <v/>
      </c>
      <c r="T16" s="60" t="str">
        <f t="shared" si="22"/>
        <v/>
      </c>
      <c r="U16" s="60" t="str">
        <f t="shared" si="22"/>
        <v/>
      </c>
      <c r="V16" s="60" t="str">
        <f t="shared" si="22"/>
        <v/>
      </c>
      <c r="W16" s="60" t="str">
        <f t="shared" si="22"/>
        <v/>
      </c>
      <c r="X16" s="60" t="str">
        <f t="shared" si="22"/>
        <v/>
      </c>
      <c r="Y16" s="60" t="str">
        <f t="shared" si="22"/>
        <v/>
      </c>
      <c r="Z16" s="60" t="str">
        <f t="shared" si="22"/>
        <v/>
      </c>
      <c r="AA16" s="60" t="str">
        <f t="shared" si="22"/>
        <v/>
      </c>
      <c r="AB16" s="60">
        <f t="shared" si="15"/>
        <v>0</v>
      </c>
      <c r="AC16" s="60">
        <f>COUNTIFS($P$16:$AA$16,"&gt;=40",$P$16:$AA$16,"&lt;=64")</f>
        <v>0</v>
      </c>
      <c r="AD16" s="60">
        <f t="shared" si="16"/>
        <v>0</v>
      </c>
      <c r="AE16" s="1">
        <f t="shared" si="6"/>
        <v>0</v>
      </c>
      <c r="AF16" s="1">
        <f t="shared" si="7"/>
        <v>0</v>
      </c>
      <c r="AG16" s="1">
        <f t="shared" si="8"/>
        <v>0</v>
      </c>
      <c r="AH16" s="1">
        <f t="shared" si="9"/>
        <v>0</v>
      </c>
      <c r="AI16" s="1">
        <f t="shared" si="10"/>
        <v>0</v>
      </c>
      <c r="AJ16" s="1">
        <f t="shared" si="11"/>
        <v>0</v>
      </c>
      <c r="AK16" s="1">
        <f t="shared" si="12"/>
        <v>0</v>
      </c>
      <c r="AL16" s="1">
        <f t="shared" si="13"/>
        <v>0</v>
      </c>
    </row>
    <row r="17" spans="2:19" ht="16.5" customHeight="1"/>
    <row r="18" spans="2:19" ht="23.25" customHeight="1">
      <c r="B18" s="4" t="s">
        <v>59</v>
      </c>
      <c r="C18" s="16"/>
      <c r="D18" s="16"/>
      <c r="E18" s="16"/>
      <c r="F18" s="16"/>
      <c r="G18" s="16"/>
      <c r="H18" s="16"/>
      <c r="I18" s="16"/>
      <c r="J18" s="16"/>
      <c r="K18" s="16"/>
      <c r="L18" s="16"/>
      <c r="M18" s="16"/>
      <c r="N18" s="53"/>
    </row>
    <row r="19" spans="2:19" ht="9.75" customHeight="1"/>
    <row r="20" spans="2:19" ht="27" customHeight="1">
      <c r="B20" s="8">
        <f>基礎情報!A1</f>
        <v>46023</v>
      </c>
      <c r="C20" s="18" t="s">
        <v>49</v>
      </c>
      <c r="E20" s="23" t="str">
        <f>IF($C$9="","",SUM(G42:J42))</f>
        <v/>
      </c>
      <c r="F20" s="23"/>
      <c r="G20" s="23"/>
      <c r="H20" s="23"/>
      <c r="I20" s="23"/>
      <c r="J20" s="40" t="s">
        <v>62</v>
      </c>
    </row>
    <row r="21" spans="2:19" ht="27" customHeight="1">
      <c r="B21" s="9"/>
      <c r="E21" s="24" t="str">
        <f>IFERROR(ROUNDUP($E$20/12,0),"")</f>
        <v/>
      </c>
      <c r="F21" s="24"/>
      <c r="G21" s="24"/>
      <c r="H21" s="24"/>
      <c r="I21" s="24"/>
      <c r="J21" s="41"/>
    </row>
    <row r="22" spans="2:19" ht="142.5" customHeight="1">
      <c r="B22" s="9"/>
      <c r="G22" s="24"/>
      <c r="H22" s="24"/>
      <c r="I22" s="24"/>
      <c r="J22" s="41"/>
    </row>
    <row r="23" spans="2:19" ht="35.25" customHeight="1">
      <c r="B23" s="10" t="s">
        <v>14</v>
      </c>
      <c r="C23" s="10"/>
      <c r="D23" s="10"/>
      <c r="E23" s="10"/>
      <c r="F23" s="10"/>
      <c r="G23" s="27" t="s">
        <v>63</v>
      </c>
      <c r="H23" s="36" t="s">
        <v>127</v>
      </c>
      <c r="I23" s="27" t="s">
        <v>39</v>
      </c>
      <c r="J23" s="42" t="s">
        <v>37</v>
      </c>
      <c r="K23" s="51"/>
      <c r="L23" s="51"/>
      <c r="M23" s="51"/>
      <c r="N23" s="51"/>
    </row>
    <row r="24" spans="2:19" ht="35.25" customHeight="1">
      <c r="B24" s="11" t="s">
        <v>91</v>
      </c>
      <c r="C24" s="11"/>
      <c r="D24" s="11"/>
      <c r="E24" s="11"/>
      <c r="F24" s="11"/>
      <c r="G24" s="28">
        <f>SUM($M$9:$M$16)</f>
        <v>0</v>
      </c>
      <c r="H24" s="28">
        <f>SUM($M$9:$M$16)</f>
        <v>0</v>
      </c>
      <c r="I24" s="28">
        <f>SUMIFS($M$9:$M$16,AC9:AC16,"&gt;0")</f>
        <v>0</v>
      </c>
      <c r="J24" s="43">
        <f>SUM($M$9:$M$16)</f>
        <v>0</v>
      </c>
      <c r="K24" s="51"/>
      <c r="L24" s="51"/>
      <c r="M24" s="51"/>
      <c r="N24" s="51"/>
    </row>
    <row r="25" spans="2:19" ht="35.25" customHeight="1">
      <c r="B25" s="12" t="s">
        <v>65</v>
      </c>
      <c r="C25" s="12"/>
      <c r="D25" s="12"/>
      <c r="E25" s="12"/>
      <c r="F25" s="12"/>
      <c r="G25" s="29">
        <f>基礎情報!$B$3</f>
        <v>6.2300000000000001e-002</v>
      </c>
      <c r="H25" s="29">
        <f>基礎情報!$C$3</f>
        <v>2.4799999999999999e-002</v>
      </c>
      <c r="I25" s="29">
        <f>基礎情報!$D$3</f>
        <v>1.84e-002</v>
      </c>
      <c r="J25" s="44">
        <f>基礎情報!$E$3</f>
        <v>1.2999999999999999e-003</v>
      </c>
      <c r="K25" s="51"/>
      <c r="L25" s="51"/>
      <c r="M25" s="51"/>
      <c r="N25" s="51"/>
      <c r="P25" s="39"/>
      <c r="Q25" s="39"/>
      <c r="R25" s="39"/>
    </row>
    <row r="26" spans="2:19" ht="35.25" customHeight="1">
      <c r="B26" s="11" t="s">
        <v>68</v>
      </c>
      <c r="C26" s="11"/>
      <c r="D26" s="11"/>
      <c r="E26" s="11"/>
      <c r="F26" s="11"/>
      <c r="G26" s="28">
        <f>ROUNDDOWN(SUM($AE$9:$AE$16),0)</f>
        <v>0</v>
      </c>
      <c r="H26" s="28">
        <f>ROUNDDOWN(SUM($AG$9:$AG$16),0)</f>
        <v>0</v>
      </c>
      <c r="I26" s="28">
        <f>ROUNDDOWN(SUM($AI$9:$AI$16),0)</f>
        <v>0</v>
      </c>
      <c r="J26" s="43">
        <f>ROUNDDOWN(SUM($AK$9:$AK$16),0)</f>
        <v>0</v>
      </c>
      <c r="K26" s="51"/>
      <c r="L26" s="51"/>
      <c r="M26" s="51"/>
      <c r="N26" s="51"/>
      <c r="P26" s="61"/>
      <c r="Q26" s="61"/>
      <c r="R26" s="61"/>
    </row>
    <row r="27" spans="2:19" ht="35.25" customHeight="1">
      <c r="B27" s="12" t="s">
        <v>69</v>
      </c>
      <c r="C27" s="12"/>
      <c r="D27" s="12"/>
      <c r="E27" s="12"/>
      <c r="F27" s="12"/>
      <c r="G27" s="28">
        <f>基礎情報!$B$4</f>
        <v>27600</v>
      </c>
      <c r="H27" s="28">
        <f>基礎情報!$C$4</f>
        <v>11000</v>
      </c>
      <c r="I27" s="28">
        <f>基礎情報!$D$4</f>
        <v>10000</v>
      </c>
      <c r="J27" s="43">
        <f>基礎情報!$E$4</f>
        <v>600</v>
      </c>
      <c r="K27" s="51"/>
      <c r="L27" s="51"/>
      <c r="M27" s="51"/>
      <c r="N27" s="51"/>
      <c r="P27" s="39"/>
      <c r="Q27" s="39"/>
      <c r="R27" s="39"/>
    </row>
    <row r="28" spans="2:19" ht="35.25" customHeight="1">
      <c r="B28" s="12" t="s">
        <v>5</v>
      </c>
      <c r="C28" s="12"/>
      <c r="D28" s="12"/>
      <c r="E28" s="12"/>
      <c r="F28" s="12"/>
      <c r="G28" s="28">
        <f>COUNTIFS($AB$9:$AB$16,"&gt;0")</f>
        <v>0</v>
      </c>
      <c r="H28" s="28">
        <f>COUNTIFS($AB$9:$AB$16,"&gt;0")</f>
        <v>0</v>
      </c>
      <c r="I28" s="28">
        <f>COUNTIFS($AC$9:$AC$16,"&gt;0")</f>
        <v>0</v>
      </c>
      <c r="J28" s="43">
        <f>COUNTIFS($AD$9:$AD$16,"&gt;0")</f>
        <v>0</v>
      </c>
      <c r="K28" s="51"/>
      <c r="L28" s="51"/>
      <c r="M28" s="51"/>
      <c r="N28" s="51"/>
      <c r="P28" s="39"/>
      <c r="Q28" s="39"/>
      <c r="R28" s="39"/>
    </row>
    <row r="29" spans="2:19" ht="35.25" customHeight="1">
      <c r="B29" s="11" t="s">
        <v>66</v>
      </c>
      <c r="C29" s="11"/>
      <c r="D29" s="11"/>
      <c r="E29" s="11"/>
      <c r="F29" s="11"/>
      <c r="G29" s="28">
        <f>ROUNDUP(SUM($AF$9:$AF$16),0)</f>
        <v>0</v>
      </c>
      <c r="H29" s="28">
        <f>ROUNDUP(SUM($AH$9:$AH$16),0)</f>
        <v>0</v>
      </c>
      <c r="I29" s="28">
        <f>ROUNDUP(SUM($AJ$9:$AJ$16),0)</f>
        <v>0</v>
      </c>
      <c r="J29" s="43">
        <f>ROUNDUP(SUM($AL$9:$AL$16),0)</f>
        <v>0</v>
      </c>
      <c r="K29" s="51"/>
      <c r="L29" s="51"/>
      <c r="M29" s="51"/>
      <c r="N29" s="51"/>
      <c r="P29" s="39"/>
      <c r="Q29" s="39"/>
      <c r="R29" s="39"/>
      <c r="S29" s="63"/>
    </row>
    <row r="30" spans="2:19" ht="35.25" customHeight="1">
      <c r="B30" s="12" t="s">
        <v>70</v>
      </c>
      <c r="C30" s="12"/>
      <c r="D30" s="12"/>
      <c r="E30" s="12"/>
      <c r="F30" s="12"/>
      <c r="G30" s="28">
        <f>基礎情報!$B$5</f>
        <v>18100</v>
      </c>
      <c r="H30" s="28">
        <f>基礎情報!$C$5</f>
        <v>7200</v>
      </c>
      <c r="I30" s="28">
        <f>基礎情報!$D$5*MAX($AC$9:$AC$16)/12</f>
        <v>0</v>
      </c>
      <c r="J30" s="43">
        <f>基礎情報!$E$5</f>
        <v>300</v>
      </c>
      <c r="K30" s="51"/>
      <c r="L30" s="51"/>
      <c r="M30" s="51"/>
      <c r="N30" s="51"/>
      <c r="P30" s="62"/>
      <c r="Q30" s="62"/>
      <c r="R30" s="62"/>
      <c r="S30" s="63"/>
    </row>
    <row r="31" spans="2:19" ht="35.25" customHeight="1">
      <c r="B31" s="12" t="s">
        <v>71</v>
      </c>
      <c r="C31" s="12"/>
      <c r="D31" s="12"/>
      <c r="E31" s="12"/>
      <c r="F31" s="12"/>
      <c r="G31" s="28">
        <f>SUM($G$26,$G$29,$G$30)</f>
        <v>18100</v>
      </c>
      <c r="H31" s="28">
        <f>SUM($H$26,$H$29,$H$30)</f>
        <v>7200</v>
      </c>
      <c r="I31" s="28">
        <f>SUM($I$26,$I$29,$I$30)</f>
        <v>0</v>
      </c>
      <c r="J31" s="43">
        <f>SUM($J$26,$J$29,$J$30)</f>
        <v>300</v>
      </c>
      <c r="K31" s="51"/>
      <c r="L31" s="51"/>
      <c r="M31" s="51"/>
      <c r="N31" s="51"/>
      <c r="P31" s="39"/>
      <c r="Q31" s="39"/>
      <c r="R31" s="39"/>
      <c r="S31" s="63"/>
    </row>
    <row r="32" spans="2:19" ht="35.25" customHeight="1">
      <c r="B32" s="13" t="s">
        <v>72</v>
      </c>
      <c r="C32" s="19" t="s">
        <v>73</v>
      </c>
      <c r="D32" s="19"/>
      <c r="E32" s="19"/>
      <c r="F32" s="19"/>
      <c r="G32" s="30">
        <f>$L$9-IF($D$9&gt;=65,MIN($J$9,150000),0)+$L$10-IF($D$10&gt;=65,MIN($J$10,150000),0)+$L$11-IF($D$11&gt;=65,MIN($J$11,150000),0)+$L$12-IF($D$12&gt;=65,MIN($J$12,150000),0)+$L$13-IF($D$13&gt;=65,MIN($J$13,150000),0)+$L$14-IF($D$14&gt;=65,MIN($J$14,150000),0)+$L$15-IF($D$15&gt;=65,MIN($J$15,150000),0)+$L$16-IF($D$16&gt;=65,MIN($J$16,150000),0)</f>
        <v>0</v>
      </c>
      <c r="H32" s="30">
        <f>$L$9-IF($D$9&gt;=65,MIN($J$9,150000),0)+$L$10-IF($D$10&gt;=65,MIN($J$10,150000),0)+$L$11-IF($D$11&gt;=65,MIN($J$11,150000),0)+$L$12-IF($D$12&gt;=65,MIN($J$12,150000),0)+$L$13-IF($D$13&gt;=65,MIN($J$13,150000),0)+$L$14-IF($D$14&gt;=65,MIN($J$14,150000),0)+$L$15-IF($D$15&gt;=65,MIN($J$15,150000),0)+$L$16-IF($D$16&gt;=65,MIN($J$16,150000),0)</f>
        <v>0</v>
      </c>
      <c r="I32" s="30">
        <f>$L$9-IF($D$9&gt;=65,MIN($J$9,150000),0)+$L$10-IF($D$10&gt;=65,MIN($J$10,150000),0)+$L$11-IF($D$11&gt;=65,MIN($J$11,150000),0)+$L$12-IF($D$12&gt;=65,MIN($J$12,150000),0)+$L$13-IF($D$13&gt;=65,MIN($J$13,150000),0)+$L$14-IF($D$14&gt;=65,MIN($J$14,150000),0)+$L$15-IF($D$15&gt;=65,MIN($J$15,150000),0)+$L$16-IF($D$16&gt;=65,MIN($J$16,150000),0)</f>
        <v>0</v>
      </c>
      <c r="J32" s="45">
        <f>$L$9-IF($D$9&gt;=65,MIN($J$9,150000),0)+$L$10-IF($D$10&gt;=65,MIN($J$10,150000),0)+$L$11-IF($D$11&gt;=65,MIN($J$11,150000),0)+$L$12-IF($D$12&gt;=65,MIN($J$12,150000),0)+$L$13-IF($D$13&gt;=65,MIN($J$13,150000),0)+$L$14-IF($D$14&gt;=65,MIN($J$14,150000),0)+$L$15-IF($D$15&gt;=65,MIN($J$15,150000),0)+$L$16-IF($D$16&gt;=65,MIN($J$16,150000),0)</f>
        <v>0</v>
      </c>
      <c r="K32" s="51"/>
      <c r="L32" s="51"/>
      <c r="M32" s="51"/>
      <c r="N32" s="51"/>
      <c r="P32" s="39"/>
      <c r="Q32" s="39"/>
      <c r="R32" s="39"/>
      <c r="S32" s="63"/>
    </row>
    <row r="33" spans="2:19" ht="35.25" customHeight="1">
      <c r="B33" s="13"/>
      <c r="C33" s="19" t="s">
        <v>74</v>
      </c>
      <c r="D33" s="19"/>
      <c r="E33" s="19"/>
      <c r="F33" s="19"/>
      <c r="G33" s="31">
        <f>SUM($O$9:$O$16)</f>
        <v>0</v>
      </c>
      <c r="H33" s="31">
        <f>SUM($O$9:$O$16)</f>
        <v>0</v>
      </c>
      <c r="I33" s="31">
        <f>SUM($O$9:$O$16)</f>
        <v>0</v>
      </c>
      <c r="J33" s="46">
        <f>SUM($O$9:$O$16)</f>
        <v>0</v>
      </c>
      <c r="K33" s="51"/>
      <c r="L33" s="51"/>
      <c r="M33" s="51"/>
      <c r="N33" s="51"/>
      <c r="P33" s="39"/>
      <c r="Q33" s="39"/>
      <c r="R33" s="39"/>
      <c r="S33" s="63"/>
    </row>
    <row r="34" spans="2:19" ht="35.25" customHeight="1">
      <c r="B34" s="13"/>
      <c r="C34" s="19" t="s">
        <v>64</v>
      </c>
      <c r="D34" s="19"/>
      <c r="E34" s="19"/>
      <c r="F34" s="19"/>
      <c r="G34" s="31">
        <f>IF($G$6="加入する",1,0)+COUNTIFS($AB$10:$AB$16,"&gt;0")</f>
        <v>1</v>
      </c>
      <c r="H34" s="31">
        <f>IF($G$6="加入する",1,0)+COUNTIFS($AB$10:$AB$16,"&gt;0")</f>
        <v>1</v>
      </c>
      <c r="I34" s="31">
        <f>IF($G$6="加入する",IF($AJ$9&gt;0,1,0),0)+COUNTIFS($AJ$10:$AJ$16,"&gt;0")</f>
        <v>0</v>
      </c>
      <c r="J34" s="46">
        <f>IF($G$6="加入する",1,0)+COUNTIFS($AD$10:$AD$16,"&gt;0")</f>
        <v>1</v>
      </c>
      <c r="K34" s="51"/>
      <c r="L34" s="51"/>
      <c r="M34" s="51"/>
      <c r="N34" s="51"/>
    </row>
    <row r="35" spans="2:19" ht="35.25" customHeight="1">
      <c r="B35" s="13"/>
      <c r="C35" s="19" t="s">
        <v>75</v>
      </c>
      <c r="D35" s="19"/>
      <c r="E35" s="19"/>
      <c r="F35" s="19"/>
      <c r="G35" s="31">
        <f>COUNTIF($E$9:$E$16,"該当")</f>
        <v>0</v>
      </c>
      <c r="H35" s="31">
        <f>COUNTIF($E$9:$E$16,"該当")</f>
        <v>0</v>
      </c>
      <c r="I35" s="38"/>
      <c r="J35" s="47"/>
      <c r="K35" s="51"/>
      <c r="L35" s="51"/>
      <c r="M35" s="51"/>
      <c r="N35" s="51"/>
    </row>
    <row r="36" spans="2:19" ht="35.25" customHeight="1">
      <c r="B36" s="13"/>
      <c r="C36" s="19" t="s">
        <v>76</v>
      </c>
      <c r="D36" s="19"/>
      <c r="E36" s="19"/>
      <c r="F36" s="19"/>
      <c r="G36" s="32">
        <f>IF($G$28=0,0,VLOOKUP($G$32,軽減判定!$C$4:$F$7,4,TRUE()))</f>
        <v>0</v>
      </c>
      <c r="H36" s="32">
        <f>IF($H$28=0,0,VLOOKUP($H$32,軽減判定!$C$4:$F$7,4,TRUE()))</f>
        <v>0</v>
      </c>
      <c r="I36" s="32">
        <f>IF($I$28=0,0,VLOOKUP($I$32,軽減判定!$C$4:$F$7,4,TRUE()))</f>
        <v>0</v>
      </c>
      <c r="J36" s="48">
        <f>IF($J$28=0,0,VLOOKUP($J$32,軽減判定!$C$4:$F$7,4,TRUE()))</f>
        <v>0</v>
      </c>
      <c r="K36" s="51"/>
      <c r="L36" s="51"/>
      <c r="M36" s="51"/>
      <c r="N36" s="51"/>
    </row>
    <row r="37" spans="2:19" ht="35.25" customHeight="1">
      <c r="B37" s="13"/>
      <c r="C37" s="19" t="s">
        <v>77</v>
      </c>
      <c r="D37" s="19"/>
      <c r="E37" s="19"/>
      <c r="F37" s="19"/>
      <c r="G37" s="30">
        <f>ROUNDUP(($G$29*G36)+($G$27*(1-$G$36)*$G$35/2),0)</f>
        <v>0</v>
      </c>
      <c r="H37" s="30">
        <f>ROUNDUP(($H$29*$H$36)+$H$27*(1-$H$36)*H35/2,0)</f>
        <v>0</v>
      </c>
      <c r="I37" s="30">
        <f>ROUNDUP($I$29*$I$36,0)</f>
        <v>0</v>
      </c>
      <c r="J37" s="45">
        <f>ROUNDUP(($J$29*$J$36),0)</f>
        <v>0</v>
      </c>
      <c r="K37" s="51"/>
      <c r="L37" s="51"/>
      <c r="M37" s="51"/>
      <c r="N37" s="51"/>
    </row>
    <row r="38" spans="2:19" ht="35.25" customHeight="1">
      <c r="B38" s="13"/>
      <c r="C38" s="19" t="s">
        <v>78</v>
      </c>
      <c r="D38" s="19"/>
      <c r="E38" s="19"/>
      <c r="F38" s="19"/>
      <c r="G38" s="30">
        <f>ROUNDUP($G$30*$G$36,0)</f>
        <v>0</v>
      </c>
      <c r="H38" s="30">
        <f>ROUNDUP($H$30*$H$36,0)</f>
        <v>0</v>
      </c>
      <c r="I38" s="30">
        <f>ROUNDUP($I$30*$I$36,0)</f>
        <v>0</v>
      </c>
      <c r="J38" s="45">
        <f>ROUNDUP($J$30*$J$36,0)</f>
        <v>0</v>
      </c>
      <c r="K38" s="51"/>
      <c r="L38" s="51"/>
      <c r="M38" s="51"/>
      <c r="N38" s="51"/>
    </row>
    <row r="39" spans="2:19" ht="35.25" customHeight="1">
      <c r="B39" s="12" t="s">
        <v>60</v>
      </c>
      <c r="C39" s="12"/>
      <c r="D39" s="12"/>
      <c r="E39" s="12"/>
      <c r="F39" s="12"/>
      <c r="G39" s="28">
        <f>$G$31-$G$37-$G$38</f>
        <v>18100</v>
      </c>
      <c r="H39" s="28">
        <f>$H$31-$H$37-$H$38</f>
        <v>7200</v>
      </c>
      <c r="I39" s="28">
        <f>($I$31-$I$37-$I$38)</f>
        <v>0</v>
      </c>
      <c r="J39" s="43">
        <f>$J$31-$J$37-$J$38</f>
        <v>300</v>
      </c>
      <c r="K39" s="51"/>
      <c r="L39" s="51"/>
      <c r="M39" s="51"/>
      <c r="N39" s="51"/>
    </row>
    <row r="40" spans="2:19" ht="35.25" customHeight="1">
      <c r="B40" s="12" t="s">
        <v>79</v>
      </c>
      <c r="C40" s="12"/>
      <c r="D40" s="12"/>
      <c r="E40" s="12"/>
      <c r="F40" s="12"/>
      <c r="G40" s="28">
        <f>基礎情報!$B$6</f>
        <v>670000</v>
      </c>
      <c r="H40" s="28">
        <f>基礎情報!$C$6</f>
        <v>260000</v>
      </c>
      <c r="I40" s="28">
        <f>基礎情報!$D$6</f>
        <v>170000</v>
      </c>
      <c r="J40" s="43">
        <f>基礎情報!$E$6</f>
        <v>30000</v>
      </c>
      <c r="K40" s="51"/>
      <c r="L40" s="51"/>
      <c r="M40" s="51"/>
      <c r="N40" s="51"/>
    </row>
    <row r="41" spans="2:19" ht="35.25" customHeight="1">
      <c r="B41" s="12" t="s">
        <v>80</v>
      </c>
      <c r="C41" s="12"/>
      <c r="D41" s="12"/>
      <c r="E41" s="12"/>
      <c r="F41" s="12"/>
      <c r="G41" s="33">
        <f>MAX($G$39-$G$40,0)</f>
        <v>0</v>
      </c>
      <c r="H41" s="33">
        <f>MAX($H$39-$H$40,0)</f>
        <v>0</v>
      </c>
      <c r="I41" s="33">
        <f>MAX($I$39-$I$40,0)</f>
        <v>0</v>
      </c>
      <c r="J41" s="49">
        <f>MAX($J$39-$J$40,0)</f>
        <v>0</v>
      </c>
      <c r="K41" s="51"/>
      <c r="L41" s="51"/>
      <c r="M41" s="51"/>
      <c r="N41" s="51"/>
    </row>
    <row r="42" spans="2:19" ht="35.25" customHeight="1">
      <c r="B42" s="14" t="s">
        <v>81</v>
      </c>
      <c r="C42" s="14"/>
      <c r="D42" s="14"/>
      <c r="E42" s="14"/>
      <c r="F42" s="14"/>
      <c r="G42" s="34" t="str">
        <f>IF($C$9="","",ROUNDDOWN($G$39-$G$41,-2))</f>
        <v/>
      </c>
      <c r="H42" s="34" t="str">
        <f>IF($C$9="","",ROUNDDOWN($H$39-$H$41,-2))</f>
        <v/>
      </c>
      <c r="I42" s="34" t="str">
        <f>IF($C$9="","",ROUNDDOWN($I$39-$I$41,-2))</f>
        <v/>
      </c>
      <c r="J42" s="50" t="str">
        <f>IF($C$9="","",ROUNDDOWN($J$39-$J$41,-2))</f>
        <v/>
      </c>
      <c r="K42" s="51"/>
      <c r="L42" s="51"/>
      <c r="M42" s="51"/>
      <c r="N42" s="51"/>
    </row>
    <row r="43" spans="2:19" ht="24.75" customHeight="1">
      <c r="J43" s="39"/>
      <c r="K43" s="51"/>
      <c r="L43" s="51"/>
      <c r="M43" s="51"/>
      <c r="N43" s="51"/>
    </row>
    <row r="44" spans="2:19" ht="16.5" customHeight="1"/>
    <row r="45" spans="2:19" ht="16.5" customHeight="1"/>
    <row r="46" spans="2:19" ht="16.5" customHeight="1"/>
    <row r="47" spans="2:19" ht="16.5" customHeight="1"/>
    <row r="48" spans="2:19" ht="16.5" hidden="1" customHeight="1"/>
    <row r="49" ht="16.5" hidden="1" customHeight="1"/>
    <row r="50" ht="16.5" hidden="1" customHeight="1"/>
  </sheetData>
  <sheetProtection password="D16D" sheet="1" objects="1" scenarios="1" selectLockedCells="1"/>
  <protectedRanges>
    <protectedRange sqref="I9:I16 K9:K16 C14:C16 G9:G16" name="範囲1"/>
    <protectedRange sqref="C9:C13" name="範囲1_1"/>
  </protectedRanges>
  <mergeCells count="26">
    <mergeCell ref="E2:H2"/>
    <mergeCell ref="B6:F6"/>
    <mergeCell ref="G6:K6"/>
    <mergeCell ref="E20:I20"/>
    <mergeCell ref="E21:I21"/>
    <mergeCell ref="B23:F23"/>
    <mergeCell ref="B24:F24"/>
    <mergeCell ref="B25:F25"/>
    <mergeCell ref="B26:F26"/>
    <mergeCell ref="B27:F27"/>
    <mergeCell ref="B28:F28"/>
    <mergeCell ref="B29:F29"/>
    <mergeCell ref="B30:F30"/>
    <mergeCell ref="B31:F31"/>
    <mergeCell ref="C32:F32"/>
    <mergeCell ref="C33:F33"/>
    <mergeCell ref="C34:F34"/>
    <mergeCell ref="C35:F35"/>
    <mergeCell ref="C36:F36"/>
    <mergeCell ref="C37:F37"/>
    <mergeCell ref="C38:F38"/>
    <mergeCell ref="B39:F39"/>
    <mergeCell ref="B40:F40"/>
    <mergeCell ref="B41:F41"/>
    <mergeCell ref="B42:F42"/>
    <mergeCell ref="B32:B38"/>
  </mergeCells>
  <phoneticPr fontId="1" type="Hiragana"/>
  <conditionalFormatting sqref="I24:I42">
    <cfRule type="expression" dxfId="50" priority="2">
      <formula>$I$34=0</formula>
    </cfRule>
  </conditionalFormatting>
  <dataValidations count="5">
    <dataValidation type="whole" operator="greaterThanOrEqual" allowBlank="1" showDropDown="0" showInputMessage="1" showErrorMessage="1" prompt="前年中の給与所得・公的年金に係る雑所得以外の所得金額を入力してください。" sqref="K9:K16">
      <formula1>-9999999999</formula1>
    </dataValidation>
    <dataValidation type="whole" operator="greaterThanOrEqual" allowBlank="1" showDropDown="0" showInputMessage="1" showErrorMessage="1" prompt="前年中の給与収入を入力してください。（源泉徴収票の「支払金額」欄の金額です。給与所得は自動計算されます）" sqref="G9:G16">
      <formula1>0</formula1>
    </dataValidation>
    <dataValidation type="whole" operator="greaterThanOrEqual" allowBlank="1" showDropDown="0" showInputMessage="1" showErrorMessage="1" prompt="前年中の公的年金収入を入力してください。（源泉徴収票の「支払金額」欄の金額です。公的年金に係る雑所得は自動計算されます）_x000a_※個人年金はその他所得欄に入力してください。" sqref="I9:I16">
      <formula1>0</formula1>
    </dataValidation>
    <dataValidation type="date" operator="greaterThanOrEqual" allowBlank="1" showDropDown="0" showInputMessage="1" showErrorMessage="1" prompt="生年月日を日付形式で入力してください。_x000a_入力例：「1955/1/1」「S35.8.8」など" sqref="C9:C16">
      <formula1>1</formula1>
    </dataValidation>
    <dataValidation type="list" allowBlank="1" showDropDown="0" showInputMessage="1" showErrorMessage="1" prompt="世帯主が小浜市で国民健康保険に加入する場合は「加入する」、加入しない場合（擬制世帯主と言います）は「加入しない」を選択してください。" sqref="G6:K6">
      <formula1>"加入する,加入しない"</formula1>
    </dataValidation>
  </dataValidations>
  <printOptions horizontalCentered="1" verticalCentered="1"/>
  <pageMargins left="0.23622047244094491" right="0.23622047244094491" top="0.74803149606299213" bottom="0.74803149606299213" header="0.31496062992125984" footer="0.51181102362204722"/>
  <pageSetup paperSize="9" scale="54" fitToWidth="1" fitToHeight="1" orientation="portrait" usePrinterDefaults="1" horizontalDpi="300" verticalDpi="300" r:id="rId1"/>
  <headerFooter>
    <oddHeader>&amp;L&amp;"HG丸ｺﾞｼｯｸM-PRO,regular"&amp;30小浜市 国民健康保険税　簡易試算シート&amp;R&amp;"HG丸ｺﾞｼｯｸM-PRO,regular"&amp;26作成日&amp;D　</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tabColor rgb="FFFFFF00"/>
  </sheetPr>
  <dimension ref="A1:K29"/>
  <sheetViews>
    <sheetView view="pageBreakPreview" zoomScaleNormal="85" zoomScaleSheetLayoutView="100" workbookViewId="0">
      <selection activeCell="G4" sqref="G4"/>
    </sheetView>
  </sheetViews>
  <sheetFormatPr defaultColWidth="12.125" defaultRowHeight="13.5"/>
  <cols>
    <col min="1" max="1" width="10.625" customWidth="1"/>
    <col min="2" max="2" width="13" customWidth="1"/>
    <col min="3" max="4" width="10.625" customWidth="1"/>
    <col min="7" max="7" width="12.75" customWidth="1"/>
  </cols>
  <sheetData>
    <row r="1" spans="1:11" ht="17.25" customHeight="1">
      <c r="A1" s="66">
        <v>46023</v>
      </c>
      <c r="B1" s="66"/>
      <c r="C1" s="88" t="s">
        <v>83</v>
      </c>
      <c r="D1" s="88"/>
      <c r="E1" s="88"/>
    </row>
    <row r="2" spans="1:11" ht="17.25" customHeight="1">
      <c r="A2" s="67" t="s">
        <v>9</v>
      </c>
      <c r="B2" s="77" t="s">
        <v>84</v>
      </c>
      <c r="C2" s="77" t="s">
        <v>85</v>
      </c>
      <c r="D2" s="77" t="s">
        <v>67</v>
      </c>
      <c r="E2" s="95" t="s">
        <v>86</v>
      </c>
    </row>
    <row r="3" spans="1:11" ht="17.25" customHeight="1">
      <c r="A3" s="67" t="s">
        <v>87</v>
      </c>
      <c r="B3" s="78">
        <v>6.2300000000000001e-002</v>
      </c>
      <c r="C3" s="78">
        <v>2.4799999999999999e-002</v>
      </c>
      <c r="D3" s="78">
        <v>1.84e-002</v>
      </c>
      <c r="E3" s="96">
        <v>1.2999999999999999e-003</v>
      </c>
    </row>
    <row r="4" spans="1:11" ht="17.25" customHeight="1">
      <c r="A4" s="67" t="s">
        <v>40</v>
      </c>
      <c r="B4" s="79">
        <v>27600</v>
      </c>
      <c r="C4" s="79">
        <v>11000</v>
      </c>
      <c r="D4" s="79">
        <v>10000</v>
      </c>
      <c r="E4" s="97">
        <v>600</v>
      </c>
    </row>
    <row r="5" spans="1:11" ht="17.25" customHeight="1">
      <c r="A5" s="67" t="s">
        <v>88</v>
      </c>
      <c r="B5" s="79">
        <v>18100</v>
      </c>
      <c r="C5" s="79">
        <v>7200</v>
      </c>
      <c r="D5" s="79">
        <v>4900</v>
      </c>
      <c r="E5" s="97">
        <v>300</v>
      </c>
    </row>
    <row r="6" spans="1:11" ht="17.25" customHeight="1">
      <c r="A6" s="68" t="s">
        <v>89</v>
      </c>
      <c r="B6" s="80">
        <v>670000</v>
      </c>
      <c r="C6" s="80">
        <v>260000</v>
      </c>
      <c r="D6" s="80">
        <v>170000</v>
      </c>
      <c r="E6" s="98">
        <v>30000</v>
      </c>
      <c r="I6" t="s">
        <v>90</v>
      </c>
    </row>
    <row r="8" spans="1:11" ht="17.25" customHeight="1">
      <c r="A8" s="69" t="s">
        <v>92</v>
      </c>
      <c r="B8" s="81">
        <f>A1</f>
        <v>46023</v>
      </c>
    </row>
    <row r="9" spans="1:11" ht="17.25" customHeight="1">
      <c r="A9" s="70" t="s">
        <v>93</v>
      </c>
      <c r="B9" s="82">
        <v>46113</v>
      </c>
    </row>
    <row r="11" spans="1:11" ht="17.25" customHeight="1">
      <c r="A11" t="s">
        <v>95</v>
      </c>
    </row>
    <row r="12" spans="1:11" ht="17.25" customHeight="1">
      <c r="A12" s="71" t="s">
        <v>126</v>
      </c>
      <c r="B12" s="83"/>
      <c r="C12" s="89">
        <v>1</v>
      </c>
      <c r="D12" s="89">
        <v>2</v>
      </c>
      <c r="E12" s="89">
        <v>3</v>
      </c>
      <c r="F12" s="89">
        <v>4</v>
      </c>
      <c r="G12" s="89">
        <v>5</v>
      </c>
      <c r="H12" s="89">
        <v>6</v>
      </c>
      <c r="I12" s="89">
        <v>7</v>
      </c>
      <c r="J12" s="100">
        <v>8</v>
      </c>
      <c r="K12" s="106"/>
    </row>
    <row r="13" spans="1:11" ht="17.25" customHeight="1">
      <c r="A13" s="72" t="s">
        <v>96</v>
      </c>
      <c r="B13" s="84" t="s">
        <v>30</v>
      </c>
      <c r="C13" s="90">
        <f t="shared" ref="C13:J13" si="0">430000+(C12-1)*100000</f>
        <v>430000</v>
      </c>
      <c r="D13" s="90">
        <f t="shared" si="0"/>
        <v>530000</v>
      </c>
      <c r="E13" s="90">
        <f t="shared" si="0"/>
        <v>630000</v>
      </c>
      <c r="F13" s="90">
        <f t="shared" si="0"/>
        <v>730000</v>
      </c>
      <c r="G13" s="90">
        <f t="shared" si="0"/>
        <v>830000</v>
      </c>
      <c r="H13" s="90">
        <f t="shared" si="0"/>
        <v>930000</v>
      </c>
      <c r="I13" s="90">
        <f t="shared" si="0"/>
        <v>1030000</v>
      </c>
      <c r="J13" s="101">
        <f t="shared" si="0"/>
        <v>1130000</v>
      </c>
      <c r="K13" s="106"/>
    </row>
    <row r="14" spans="1:11" ht="17.25" customHeight="1">
      <c r="A14" s="73" t="s">
        <v>97</v>
      </c>
      <c r="B14" s="85">
        <v>1</v>
      </c>
      <c r="C14" s="91">
        <f t="shared" ref="C14:C21" si="1">430000+($C$12-1)*100000+($A$15*B14)</f>
        <v>740000</v>
      </c>
      <c r="D14" s="91">
        <f t="shared" ref="D14:D21" si="2">430000+($D$12-1)*100000+($A$15*B14)</f>
        <v>840000</v>
      </c>
      <c r="E14" s="91" t="s">
        <v>30</v>
      </c>
      <c r="F14" s="91" t="s">
        <v>30</v>
      </c>
      <c r="G14" s="91" t="s">
        <v>30</v>
      </c>
      <c r="H14" s="91" t="s">
        <v>30</v>
      </c>
      <c r="I14" s="91" t="s">
        <v>30</v>
      </c>
      <c r="J14" s="102" t="s">
        <v>30</v>
      </c>
      <c r="K14" s="106"/>
    </row>
    <row r="15" spans="1:11" ht="17.25" customHeight="1">
      <c r="A15" s="74">
        <v>310000</v>
      </c>
      <c r="B15" s="86">
        <v>2</v>
      </c>
      <c r="C15" s="92">
        <f t="shared" si="1"/>
        <v>1050000</v>
      </c>
      <c r="D15" s="92">
        <f t="shared" si="2"/>
        <v>1150000</v>
      </c>
      <c r="E15" s="92">
        <f t="shared" ref="E15:E21" si="3">430000+($E$12-1)*100000+($A$15*B15)</f>
        <v>1250000</v>
      </c>
      <c r="F15" s="92" t="s">
        <v>30</v>
      </c>
      <c r="G15" s="92" t="s">
        <v>30</v>
      </c>
      <c r="H15" s="92" t="s">
        <v>30</v>
      </c>
      <c r="I15" s="92" t="s">
        <v>30</v>
      </c>
      <c r="J15" s="103" t="s">
        <v>30</v>
      </c>
      <c r="K15" s="106"/>
    </row>
    <row r="16" spans="1:11" ht="17.25" customHeight="1">
      <c r="A16" s="75" t="s">
        <v>98</v>
      </c>
      <c r="B16" s="86">
        <v>3</v>
      </c>
      <c r="C16" s="92">
        <f t="shared" si="1"/>
        <v>1360000</v>
      </c>
      <c r="D16" s="92">
        <f t="shared" si="2"/>
        <v>1460000</v>
      </c>
      <c r="E16" s="92">
        <f t="shared" si="3"/>
        <v>1560000</v>
      </c>
      <c r="F16" s="92">
        <f t="shared" ref="F16:F21" si="4">430000+($F$12-1)*100000+($A$15*B16)</f>
        <v>1660000</v>
      </c>
      <c r="G16" s="92" t="s">
        <v>30</v>
      </c>
      <c r="H16" s="92" t="s">
        <v>30</v>
      </c>
      <c r="I16" s="92" t="s">
        <v>30</v>
      </c>
      <c r="J16" s="103" t="s">
        <v>30</v>
      </c>
      <c r="K16" s="106"/>
    </row>
    <row r="17" spans="1:11" ht="17.25" customHeight="1">
      <c r="A17" s="75"/>
      <c r="B17" s="86">
        <v>4</v>
      </c>
      <c r="C17" s="92">
        <f t="shared" si="1"/>
        <v>1670000</v>
      </c>
      <c r="D17" s="92">
        <f t="shared" si="2"/>
        <v>1770000</v>
      </c>
      <c r="E17" s="92">
        <f t="shared" si="3"/>
        <v>1870000</v>
      </c>
      <c r="F17" s="92">
        <f t="shared" si="4"/>
        <v>1970000</v>
      </c>
      <c r="G17" s="92">
        <f>430000+($G$12-1)*100000+($A$15*B17)</f>
        <v>2070000</v>
      </c>
      <c r="H17" s="92" t="s">
        <v>30</v>
      </c>
      <c r="I17" s="92" t="s">
        <v>30</v>
      </c>
      <c r="J17" s="103" t="s">
        <v>30</v>
      </c>
      <c r="K17" s="106"/>
    </row>
    <row r="18" spans="1:11" ht="17.25" customHeight="1">
      <c r="A18" s="75"/>
      <c r="B18" s="86">
        <v>5</v>
      </c>
      <c r="C18" s="92">
        <f t="shared" si="1"/>
        <v>1980000</v>
      </c>
      <c r="D18" s="92">
        <f t="shared" si="2"/>
        <v>2080000</v>
      </c>
      <c r="E18" s="92">
        <f t="shared" si="3"/>
        <v>2180000</v>
      </c>
      <c r="F18" s="92">
        <f t="shared" si="4"/>
        <v>2280000</v>
      </c>
      <c r="G18" s="92">
        <f>430000+($G$12-1)*100000+($A$15*B18)</f>
        <v>2380000</v>
      </c>
      <c r="H18" s="92">
        <f>430000+($H$12-1)*100000+($A$15*B18)</f>
        <v>2480000</v>
      </c>
      <c r="I18" s="92" t="s">
        <v>30</v>
      </c>
      <c r="J18" s="103" t="s">
        <v>30</v>
      </c>
      <c r="K18" s="106"/>
    </row>
    <row r="19" spans="1:11" ht="17.25" customHeight="1">
      <c r="A19" s="75"/>
      <c r="B19" s="86">
        <v>6</v>
      </c>
      <c r="C19" s="92">
        <f t="shared" si="1"/>
        <v>2290000</v>
      </c>
      <c r="D19" s="92">
        <f t="shared" si="2"/>
        <v>2390000</v>
      </c>
      <c r="E19" s="92">
        <f t="shared" si="3"/>
        <v>2490000</v>
      </c>
      <c r="F19" s="92">
        <f t="shared" si="4"/>
        <v>2590000</v>
      </c>
      <c r="G19" s="92">
        <f>430000+($G$12-1)*100000+($A$15*B19)</f>
        <v>2690000</v>
      </c>
      <c r="H19" s="92">
        <f>430000+($H$12-1)*100000+($A$15*B19)</f>
        <v>2790000</v>
      </c>
      <c r="I19" s="92">
        <f>430000+($I$12-1)*100000+($A$15*B19)</f>
        <v>2890000</v>
      </c>
      <c r="J19" s="103" t="s">
        <v>30</v>
      </c>
      <c r="K19" s="106"/>
    </row>
    <row r="20" spans="1:11" ht="17.25" customHeight="1">
      <c r="A20" s="75"/>
      <c r="B20" s="86">
        <v>7</v>
      </c>
      <c r="C20" s="92">
        <f t="shared" si="1"/>
        <v>2600000</v>
      </c>
      <c r="D20" s="92">
        <f t="shared" si="2"/>
        <v>2700000</v>
      </c>
      <c r="E20" s="92">
        <f t="shared" si="3"/>
        <v>2800000</v>
      </c>
      <c r="F20" s="92">
        <f t="shared" si="4"/>
        <v>2900000</v>
      </c>
      <c r="G20" s="92">
        <f>430000+($G$12-1)*100000+($A$15*B20)</f>
        <v>3000000</v>
      </c>
      <c r="H20" s="92">
        <f>430000+($H$12-1)*100000+($A$15*B20)</f>
        <v>3100000</v>
      </c>
      <c r="I20" s="92">
        <f>430000+($I$12-1)*100000+($A$15*B20)</f>
        <v>3200000</v>
      </c>
      <c r="J20" s="103">
        <f>430000+($J$12-1)*100000+($A$15*B20)</f>
        <v>3300000</v>
      </c>
      <c r="K20" s="106"/>
    </row>
    <row r="21" spans="1:11" ht="17.25" customHeight="1">
      <c r="A21" s="76"/>
      <c r="B21" s="87">
        <v>8</v>
      </c>
      <c r="C21" s="93">
        <f t="shared" si="1"/>
        <v>2910000</v>
      </c>
      <c r="D21" s="93">
        <f t="shared" si="2"/>
        <v>3010000</v>
      </c>
      <c r="E21" s="99">
        <f t="shared" si="3"/>
        <v>3110000</v>
      </c>
      <c r="F21" s="99">
        <f t="shared" si="4"/>
        <v>3210000</v>
      </c>
      <c r="G21" s="99">
        <f>430000+($G$12-1)*100000+($A$15*B21)</f>
        <v>3310000</v>
      </c>
      <c r="H21" s="99">
        <f>430000+($H$12-1)*100000+($A$15*B21)</f>
        <v>3410000</v>
      </c>
      <c r="I21" s="99">
        <f>430000+($I$12-1)*100000+($A$15*B21)</f>
        <v>3510000</v>
      </c>
      <c r="J21" s="103">
        <f>430000+($J$12-1)*100000+($A$15*B21)</f>
        <v>3610000</v>
      </c>
      <c r="K21" s="106"/>
    </row>
    <row r="22" spans="1:11" ht="17.25" customHeight="1">
      <c r="A22" s="73" t="s">
        <v>99</v>
      </c>
      <c r="B22" s="85">
        <v>1</v>
      </c>
      <c r="C22" s="91">
        <f t="shared" ref="C22:C29" si="5">430000+($C$12-1)*100000+($A$23*B22)</f>
        <v>1000000</v>
      </c>
      <c r="D22" s="91">
        <f t="shared" ref="D22:D29" si="6">430000+($D$12-1)*100000+($A$23*B22)</f>
        <v>1100000</v>
      </c>
      <c r="E22" s="91" t="s">
        <v>30</v>
      </c>
      <c r="F22" s="91" t="s">
        <v>30</v>
      </c>
      <c r="G22" s="91" t="s">
        <v>30</v>
      </c>
      <c r="H22" s="91" t="s">
        <v>30</v>
      </c>
      <c r="I22" s="91" t="s">
        <v>30</v>
      </c>
      <c r="J22" s="104" t="s">
        <v>30</v>
      </c>
      <c r="K22" s="106"/>
    </row>
    <row r="23" spans="1:11" ht="17.25" customHeight="1">
      <c r="A23" s="74">
        <v>570000</v>
      </c>
      <c r="B23" s="86">
        <v>2</v>
      </c>
      <c r="C23" s="92">
        <f t="shared" si="5"/>
        <v>1570000</v>
      </c>
      <c r="D23" s="92">
        <f t="shared" si="6"/>
        <v>1670000</v>
      </c>
      <c r="E23" s="92">
        <f t="shared" ref="E23:E29" si="7">430000+($E$12-1)*100000+($A$23*B23)</f>
        <v>1770000</v>
      </c>
      <c r="F23" s="92" t="s">
        <v>30</v>
      </c>
      <c r="G23" s="92" t="s">
        <v>30</v>
      </c>
      <c r="H23" s="92" t="s">
        <v>30</v>
      </c>
      <c r="I23" s="92" t="s">
        <v>30</v>
      </c>
      <c r="J23" s="103" t="s">
        <v>30</v>
      </c>
      <c r="K23" s="106"/>
    </row>
    <row r="24" spans="1:11" ht="17.25" customHeight="1">
      <c r="A24" s="75" t="s">
        <v>100</v>
      </c>
      <c r="B24" s="86">
        <v>3</v>
      </c>
      <c r="C24" s="92">
        <f t="shared" si="5"/>
        <v>2140000</v>
      </c>
      <c r="D24" s="92">
        <f t="shared" si="6"/>
        <v>2240000</v>
      </c>
      <c r="E24" s="92">
        <f t="shared" si="7"/>
        <v>2340000</v>
      </c>
      <c r="F24" s="92">
        <f t="shared" ref="F24:F29" si="8">430000+($F$12-1)*100000+($A$23*B24)</f>
        <v>2440000</v>
      </c>
      <c r="G24" s="92" t="s">
        <v>30</v>
      </c>
      <c r="H24" s="92" t="s">
        <v>30</v>
      </c>
      <c r="I24" s="92" t="s">
        <v>30</v>
      </c>
      <c r="J24" s="103" t="s">
        <v>30</v>
      </c>
      <c r="K24" s="106"/>
    </row>
    <row r="25" spans="1:11" ht="17.25" customHeight="1">
      <c r="A25" s="75"/>
      <c r="B25" s="86">
        <v>4</v>
      </c>
      <c r="C25" s="92">
        <f t="shared" si="5"/>
        <v>2710000</v>
      </c>
      <c r="D25" s="92">
        <f t="shared" si="6"/>
        <v>2810000</v>
      </c>
      <c r="E25" s="92">
        <f t="shared" si="7"/>
        <v>2910000</v>
      </c>
      <c r="F25" s="92">
        <f t="shared" si="8"/>
        <v>3010000</v>
      </c>
      <c r="G25" s="92">
        <f>430000+($G$12-1)*100000+($A$23*B25)</f>
        <v>3110000</v>
      </c>
      <c r="H25" s="92" t="s">
        <v>30</v>
      </c>
      <c r="I25" s="92" t="s">
        <v>30</v>
      </c>
      <c r="J25" s="103" t="s">
        <v>30</v>
      </c>
      <c r="K25" s="106"/>
    </row>
    <row r="26" spans="1:11" ht="17.25" customHeight="1">
      <c r="A26" s="75"/>
      <c r="B26" s="86">
        <v>5</v>
      </c>
      <c r="C26" s="92">
        <f t="shared" si="5"/>
        <v>3280000</v>
      </c>
      <c r="D26" s="92">
        <f t="shared" si="6"/>
        <v>3380000</v>
      </c>
      <c r="E26" s="92">
        <f t="shared" si="7"/>
        <v>3480000</v>
      </c>
      <c r="F26" s="92">
        <f t="shared" si="8"/>
        <v>3580000</v>
      </c>
      <c r="G26" s="92">
        <f>430000+($G$12-1)*100000+($A$23*B26)</f>
        <v>3680000</v>
      </c>
      <c r="H26" s="92">
        <f>430000+($H$12-1)*100000+($A$23*B26)</f>
        <v>3780000</v>
      </c>
      <c r="I26" s="92" t="s">
        <v>30</v>
      </c>
      <c r="J26" s="103" t="s">
        <v>30</v>
      </c>
      <c r="K26" s="106"/>
    </row>
    <row r="27" spans="1:11" ht="17.25" customHeight="1">
      <c r="A27" s="75"/>
      <c r="B27" s="86">
        <v>6</v>
      </c>
      <c r="C27" s="92">
        <f t="shared" si="5"/>
        <v>3850000</v>
      </c>
      <c r="D27" s="92">
        <f t="shared" si="6"/>
        <v>3950000</v>
      </c>
      <c r="E27" s="92">
        <f t="shared" si="7"/>
        <v>4050000</v>
      </c>
      <c r="F27" s="92">
        <f t="shared" si="8"/>
        <v>4150000</v>
      </c>
      <c r="G27" s="92">
        <f>430000+($G$12-1)*100000+($A$23*B27)</f>
        <v>4250000</v>
      </c>
      <c r="H27" s="92">
        <f>430000+($H$12-1)*100000+($A$23*B27)</f>
        <v>4350000</v>
      </c>
      <c r="I27" s="92">
        <f>430000+($I$12-1)*100000+($A$23*B27)</f>
        <v>4450000</v>
      </c>
      <c r="J27" s="103" t="s">
        <v>30</v>
      </c>
      <c r="K27" s="106"/>
    </row>
    <row r="28" spans="1:11" ht="17.25" customHeight="1">
      <c r="A28" s="75"/>
      <c r="B28" s="86">
        <v>7</v>
      </c>
      <c r="C28" s="92">
        <f t="shared" si="5"/>
        <v>4420000</v>
      </c>
      <c r="D28" s="92">
        <f t="shared" si="6"/>
        <v>4520000</v>
      </c>
      <c r="E28" s="92">
        <f t="shared" si="7"/>
        <v>4620000</v>
      </c>
      <c r="F28" s="92">
        <f t="shared" si="8"/>
        <v>4720000</v>
      </c>
      <c r="G28" s="92">
        <f>430000+($G$12-1)*100000+($A$23*B28)</f>
        <v>4820000</v>
      </c>
      <c r="H28" s="92">
        <f>430000+($H$12-1)*100000+($A$23*B28)</f>
        <v>4920000</v>
      </c>
      <c r="I28" s="92">
        <f>430000+($I$12-1)*100000+($A$23*B28)</f>
        <v>5020000</v>
      </c>
      <c r="J28" s="103">
        <f>430000+($J$12-1)*100000+($A$23*B28)</f>
        <v>5120000</v>
      </c>
    </row>
    <row r="29" spans="1:11" ht="17.25" customHeight="1">
      <c r="A29" s="76"/>
      <c r="B29" s="87">
        <v>8</v>
      </c>
      <c r="C29" s="94">
        <f t="shared" si="5"/>
        <v>4990000</v>
      </c>
      <c r="D29" s="94">
        <f t="shared" si="6"/>
        <v>5090000</v>
      </c>
      <c r="E29" s="94">
        <f t="shared" si="7"/>
        <v>5190000</v>
      </c>
      <c r="F29" s="94">
        <f t="shared" si="8"/>
        <v>5290000</v>
      </c>
      <c r="G29" s="94">
        <f>430000+($G$12-1)*100000+($A$23*B29)</f>
        <v>5390000</v>
      </c>
      <c r="H29" s="94">
        <f>430000+($H$12-1)*100000+($A$23*B29)</f>
        <v>5490000</v>
      </c>
      <c r="I29" s="94">
        <f>430000+($I$12-1)*100000+($A$23*B29)</f>
        <v>5590000</v>
      </c>
      <c r="J29" s="105">
        <f>430000+($J$12-1)*100000+($A$23*B29)</f>
        <v>5690000</v>
      </c>
    </row>
  </sheetData>
  <mergeCells count="2">
    <mergeCell ref="A1:B1"/>
    <mergeCell ref="C1:E1"/>
  </mergeCells>
  <phoneticPr fontId="1" type="Hiragana"/>
  <pageMargins left="0.7" right="0.7" top="0.75" bottom="0.75" header="0.511811023622047" footer="0.511811023622047"/>
  <pageSetup paperSize="9" scale="74" fitToWidth="1" fitToHeight="1" orientation="landscape" usePrinterDefaults="1"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dimension ref="A1:F18"/>
  <sheetViews>
    <sheetView view="pageBreakPreview" zoomScale="130" zoomScaleSheetLayoutView="130" workbookViewId="0">
      <selection activeCell="G4" sqref="G4"/>
    </sheetView>
  </sheetViews>
  <sheetFormatPr defaultColWidth="9" defaultRowHeight="13.5"/>
  <cols>
    <col min="1" max="3" width="11" customWidth="1"/>
    <col min="4" max="4" width="3.375" customWidth="1"/>
    <col min="5" max="6" width="11" customWidth="1"/>
  </cols>
  <sheetData>
    <row r="1" spans="1:6" ht="37.5" customHeight="1">
      <c r="A1" s="107" t="s">
        <v>101</v>
      </c>
      <c r="B1" s="112">
        <f>'【令和8年度】小浜市国民健康保険税試算'!G33</f>
        <v>0</v>
      </c>
      <c r="C1" s="107" t="s">
        <v>102</v>
      </c>
      <c r="D1" s="116">
        <f>'【令和8年度】小浜市国民健康保険税試算'!$G$34</f>
        <v>1</v>
      </c>
    </row>
    <row r="3" spans="1:6" ht="17.25" customHeight="1">
      <c r="A3" s="108" t="s">
        <v>35</v>
      </c>
      <c r="B3" s="113" t="s">
        <v>103</v>
      </c>
      <c r="C3" s="113" t="s">
        <v>94</v>
      </c>
      <c r="D3" s="113"/>
      <c r="E3" s="113"/>
      <c r="F3" s="117" t="s">
        <v>104</v>
      </c>
    </row>
    <row r="4" spans="1:6" ht="17.25" customHeight="1">
      <c r="A4" s="109">
        <f>基礎情報!$C$13</f>
        <v>430000</v>
      </c>
      <c r="B4" s="114">
        <v>0</v>
      </c>
      <c r="C4" s="114">
        <v>0</v>
      </c>
      <c r="D4" s="114" t="s">
        <v>105</v>
      </c>
      <c r="E4" s="114">
        <f>$A$4</f>
        <v>430000</v>
      </c>
      <c r="F4" s="118">
        <v>0.7</v>
      </c>
    </row>
    <row r="5" spans="1:6" ht="17.25" customHeight="1">
      <c r="A5" s="109"/>
      <c r="B5" s="114">
        <f>基礎情報!$A$15</f>
        <v>310000</v>
      </c>
      <c r="C5" s="114">
        <f>E4+1</f>
        <v>430001</v>
      </c>
      <c r="D5" s="114"/>
      <c r="E5" s="114">
        <f>A4+((MAX(($B$1-1),0)*100000)+($B$5*$D$1))</f>
        <v>740000</v>
      </c>
      <c r="F5" s="118">
        <v>0.5</v>
      </c>
    </row>
    <row r="6" spans="1:6" ht="17.25" customHeight="1">
      <c r="A6" s="109"/>
      <c r="B6" s="114">
        <f>基礎情報!$A$23</f>
        <v>570000</v>
      </c>
      <c r="C6" s="114">
        <f>E5+1</f>
        <v>740001</v>
      </c>
      <c r="D6" s="114"/>
      <c r="E6" s="114">
        <f>$A$4+((MAX(($B$1-1),0)*100000+($B$6*$D$1)))</f>
        <v>1000000</v>
      </c>
      <c r="F6" s="118">
        <v>0.2</v>
      </c>
    </row>
    <row r="7" spans="1:6" ht="17.25" customHeight="1">
      <c r="A7" s="110"/>
      <c r="B7" s="115" t="s">
        <v>30</v>
      </c>
      <c r="C7" s="115">
        <f>E6+1</f>
        <v>1000001</v>
      </c>
      <c r="D7" s="115"/>
      <c r="E7" s="115">
        <v>99999999</v>
      </c>
      <c r="F7" s="119">
        <v>0</v>
      </c>
    </row>
    <row r="8" spans="1:6" ht="17.25" customHeight="1">
      <c r="A8" s="111"/>
      <c r="B8" s="111"/>
      <c r="C8" s="111"/>
      <c r="D8" s="111"/>
      <c r="E8" s="111"/>
      <c r="F8" s="120"/>
    </row>
    <row r="9" spans="1:6" ht="17.25" customHeight="1">
      <c r="A9" s="111"/>
      <c r="B9" s="111"/>
      <c r="C9" s="111"/>
      <c r="D9" s="111"/>
      <c r="E9" s="111"/>
      <c r="F9" s="120"/>
    </row>
    <row r="10" spans="1:6" ht="17.25" customHeight="1">
      <c r="A10" s="111"/>
      <c r="B10" s="111"/>
      <c r="C10" s="111"/>
      <c r="D10" s="111"/>
      <c r="E10" s="111"/>
      <c r="F10" s="120"/>
    </row>
    <row r="11" spans="1:6" ht="17.25" customHeight="1">
      <c r="A11" s="111"/>
      <c r="B11" s="111"/>
      <c r="C11" s="111"/>
      <c r="D11" s="111"/>
      <c r="E11" s="111"/>
      <c r="F11" s="120"/>
    </row>
    <row r="12" spans="1:6" ht="17.25" customHeight="1">
      <c r="A12" s="111"/>
      <c r="B12" s="111"/>
      <c r="C12" s="111"/>
      <c r="D12" s="111"/>
      <c r="E12" s="111"/>
      <c r="F12" s="120"/>
    </row>
    <row r="13" spans="1:6" ht="17.25" customHeight="1">
      <c r="A13" s="111"/>
      <c r="B13" s="111"/>
      <c r="C13" s="111"/>
      <c r="D13" s="111"/>
      <c r="E13" s="111"/>
      <c r="F13" s="120"/>
    </row>
    <row r="14" spans="1:6" ht="17.25" customHeight="1">
      <c r="A14" s="111"/>
      <c r="B14" s="111"/>
      <c r="C14" s="111"/>
      <c r="D14" s="111"/>
      <c r="E14" s="111"/>
      <c r="F14" s="120"/>
    </row>
    <row r="15" spans="1:6" ht="17.25" customHeight="1">
      <c r="A15" s="111"/>
      <c r="B15" s="111"/>
      <c r="C15" s="111"/>
      <c r="D15" s="111"/>
      <c r="E15" s="111"/>
      <c r="F15" s="120"/>
    </row>
    <row r="16" spans="1:6" ht="17.25" customHeight="1">
      <c r="A16" s="111"/>
      <c r="B16" s="111"/>
      <c r="C16" s="111"/>
      <c r="D16" s="111"/>
      <c r="E16" s="111"/>
      <c r="F16" s="120"/>
    </row>
    <row r="17" spans="1:6" ht="17.25" customHeight="1">
      <c r="A17" s="111"/>
      <c r="B17" s="111"/>
      <c r="C17" s="111"/>
      <c r="D17" s="111"/>
      <c r="E17" s="111"/>
      <c r="F17" s="120"/>
    </row>
    <row r="18" spans="1:6" ht="17.25" customHeight="1">
      <c r="A18" s="111"/>
      <c r="B18" s="111"/>
      <c r="C18" s="111"/>
      <c r="D18" s="111"/>
      <c r="E18" s="111"/>
      <c r="F18" s="120"/>
    </row>
  </sheetData>
  <mergeCells count="1">
    <mergeCell ref="C3:E3"/>
  </mergeCells>
  <phoneticPr fontId="1" type="Hiragana"/>
  <pageMargins left="0.7" right="0.7" top="0.75" bottom="0.75" header="0.511811023622047" footer="0.511811023622047"/>
  <pageSetup paperSize="9" fitToWidth="1" fitToHeight="1" orientation="portrait" usePrinterDefaults="1"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W29"/>
  <sheetViews>
    <sheetView view="pageBreakPreview" topLeftCell="A6" zoomScaleSheetLayoutView="100" workbookViewId="0">
      <selection activeCell="G4" sqref="G4"/>
    </sheetView>
  </sheetViews>
  <sheetFormatPr defaultColWidth="9" defaultRowHeight="13.5"/>
  <cols>
    <col min="1" max="1" width="11" customWidth="1"/>
    <col min="2" max="2" width="3.375" customWidth="1"/>
    <col min="3" max="3" width="12.125" customWidth="1"/>
    <col min="4" max="5" width="11" style="121" customWidth="1"/>
    <col min="6" max="6" width="10.375" style="111" customWidth="1"/>
    <col min="7" max="7" width="11" customWidth="1"/>
    <col min="8" max="8" width="3.375" customWidth="1"/>
    <col min="9" max="9" width="12.125" customWidth="1"/>
    <col min="10" max="11" width="11" style="121" customWidth="1"/>
    <col min="13" max="13" width="11" customWidth="1"/>
    <col min="14" max="14" width="3.375" customWidth="1"/>
    <col min="15" max="15" width="12.125" customWidth="1"/>
    <col min="16" max="17" width="11" style="121" customWidth="1"/>
    <col min="19" max="19" width="11" customWidth="1"/>
    <col min="20" max="20" width="3.375" customWidth="1"/>
    <col min="21" max="21" width="12.125" customWidth="1"/>
    <col min="22" max="23" width="11" style="121" customWidth="1"/>
  </cols>
  <sheetData>
    <row r="1" spans="1:23" ht="17.25" customHeight="1">
      <c r="A1" t="s">
        <v>28</v>
      </c>
      <c r="D1" s="124" t="s">
        <v>106</v>
      </c>
      <c r="E1" s="126">
        <f>'【令和8年度】小浜市国民健康保険税試算'!G9</f>
        <v>0</v>
      </c>
      <c r="G1" t="s">
        <v>43</v>
      </c>
      <c r="J1" s="124" t="s">
        <v>106</v>
      </c>
      <c r="K1" s="126">
        <f>'【令和8年度】小浜市国民健康保険税試算'!G10</f>
        <v>0</v>
      </c>
      <c r="M1" t="s">
        <v>54</v>
      </c>
      <c r="P1" s="124" t="s">
        <v>106</v>
      </c>
      <c r="Q1" s="126">
        <f>'【令和8年度】小浜市国民健康保険税試算'!G11</f>
        <v>0</v>
      </c>
      <c r="S1" t="s">
        <v>55</v>
      </c>
      <c r="V1" s="124" t="s">
        <v>106</v>
      </c>
      <c r="W1" s="126">
        <f>'【令和8年度】小浜市国民健康保険税試算'!G12</f>
        <v>0</v>
      </c>
    </row>
    <row r="2" spans="1:23" ht="17.25" customHeight="1">
      <c r="C2" s="124"/>
      <c r="D2" s="125" t="s">
        <v>107</v>
      </c>
      <c r="E2" s="127">
        <f>MAX(E4:E14)</f>
        <v>0</v>
      </c>
      <c r="I2" s="124"/>
      <c r="J2" s="125" t="s">
        <v>107</v>
      </c>
      <c r="K2" s="127">
        <f>MAX(K4:K14)</f>
        <v>0</v>
      </c>
      <c r="O2" s="124"/>
      <c r="P2" s="125" t="s">
        <v>107</v>
      </c>
      <c r="Q2" s="127">
        <f>MAX(Q4:Q14)</f>
        <v>0</v>
      </c>
      <c r="U2" s="124"/>
      <c r="V2" s="125" t="s">
        <v>107</v>
      </c>
      <c r="W2" s="127">
        <f>MAX(W4:W14)</f>
        <v>0</v>
      </c>
    </row>
    <row r="3" spans="1:23" ht="17.25" customHeight="1">
      <c r="A3" s="122" t="s">
        <v>108</v>
      </c>
      <c r="B3" s="122"/>
      <c r="C3" s="122"/>
      <c r="D3" s="122" t="s">
        <v>109</v>
      </c>
      <c r="E3" s="122" t="s">
        <v>19</v>
      </c>
      <c r="G3" s="122" t="s">
        <v>108</v>
      </c>
      <c r="H3" s="122"/>
      <c r="I3" s="122"/>
      <c r="J3" s="122" t="s">
        <v>109</v>
      </c>
      <c r="K3" s="122" t="s">
        <v>19</v>
      </c>
      <c r="M3" s="122" t="s">
        <v>108</v>
      </c>
      <c r="N3" s="122"/>
      <c r="O3" s="122"/>
      <c r="P3" s="122" t="s">
        <v>109</v>
      </c>
      <c r="Q3" s="122" t="s">
        <v>19</v>
      </c>
      <c r="S3" s="122" t="s">
        <v>108</v>
      </c>
      <c r="T3" s="122"/>
      <c r="U3" s="122"/>
      <c r="V3" s="122" t="s">
        <v>109</v>
      </c>
      <c r="W3" s="122" t="s">
        <v>19</v>
      </c>
    </row>
    <row r="4" spans="1:23" ht="17.25" customHeight="1">
      <c r="A4" s="114">
        <v>0</v>
      </c>
      <c r="B4" s="123" t="s">
        <v>105</v>
      </c>
      <c r="C4" s="114">
        <v>649999</v>
      </c>
      <c r="D4" s="123" t="str">
        <f>IF(E1&lt;=C4,"○","")</f>
        <v>○</v>
      </c>
      <c r="E4" s="128">
        <f>IF(D4="○",0,"")</f>
        <v>0</v>
      </c>
      <c r="G4" s="114">
        <v>0</v>
      </c>
      <c r="H4" s="123" t="s">
        <v>105</v>
      </c>
      <c r="I4" s="114">
        <v>649999</v>
      </c>
      <c r="J4" s="123" t="str">
        <f>IF(K1&lt;=I4,"○","")</f>
        <v>○</v>
      </c>
      <c r="K4" s="128">
        <f>IF(J4="○",0,"")</f>
        <v>0</v>
      </c>
      <c r="M4" s="114">
        <v>0</v>
      </c>
      <c r="N4" s="123" t="s">
        <v>105</v>
      </c>
      <c r="O4" s="114">
        <v>649999</v>
      </c>
      <c r="P4" s="123" t="str">
        <f>IF(Q1&lt;=O4,"○","")</f>
        <v>○</v>
      </c>
      <c r="Q4" s="128">
        <f>IF(P4="○",0,"")</f>
        <v>0</v>
      </c>
      <c r="S4" s="114">
        <v>0</v>
      </c>
      <c r="T4" s="123" t="s">
        <v>105</v>
      </c>
      <c r="U4" s="114">
        <v>649999</v>
      </c>
      <c r="V4" s="123" t="str">
        <f>IF(W1&lt;=U4,"○","")</f>
        <v>○</v>
      </c>
      <c r="W4" s="128">
        <f>IF(V4="○",0,"")</f>
        <v>0</v>
      </c>
    </row>
    <row r="5" spans="1:23" ht="17.25" customHeight="1">
      <c r="A5" s="114">
        <f t="shared" ref="A5:A14" si="0">C4+1</f>
        <v>650000</v>
      </c>
      <c r="B5" s="123" t="s">
        <v>105</v>
      </c>
      <c r="C5" s="114">
        <v>1618999</v>
      </c>
      <c r="D5" s="123" t="str">
        <f>IF(AND(A5&lt;=E1,E1&lt;=C5),"○","")</f>
        <v/>
      </c>
      <c r="E5" s="128" t="str">
        <f t="shared" ref="E5:E10" si="1">IF(D5="○",$E$1-650000,"")</f>
        <v/>
      </c>
      <c r="G5" s="114">
        <f t="shared" ref="G5:G14" si="2">I4+1</f>
        <v>650000</v>
      </c>
      <c r="H5" s="123" t="s">
        <v>105</v>
      </c>
      <c r="I5" s="114">
        <v>1618999</v>
      </c>
      <c r="J5" s="123" t="str">
        <f>IF(AND(G5&lt;=K1,K1&lt;=I5),"○","")</f>
        <v/>
      </c>
      <c r="K5" s="128" t="str">
        <f t="shared" ref="K5:K10" si="3">IF(J5="○",$K$1-650000,"")</f>
        <v/>
      </c>
      <c r="M5" s="114">
        <f t="shared" ref="M5:M14" si="4">O4+1</f>
        <v>650000</v>
      </c>
      <c r="N5" s="123" t="s">
        <v>105</v>
      </c>
      <c r="O5" s="114">
        <v>1618999</v>
      </c>
      <c r="P5" s="123" t="str">
        <f>IF(AND(M5&lt;=Q1,Q1&lt;=O5),"○","")</f>
        <v/>
      </c>
      <c r="Q5" s="128" t="str">
        <f t="shared" ref="Q5:Q10" si="5">IF(P5="○",$Q$1-650000,"")</f>
        <v/>
      </c>
      <c r="S5" s="114">
        <f t="shared" ref="S5:S14" si="6">U4+1</f>
        <v>650000</v>
      </c>
      <c r="T5" s="123" t="s">
        <v>105</v>
      </c>
      <c r="U5" s="114">
        <v>1618999</v>
      </c>
      <c r="V5" s="123" t="str">
        <f>IF(AND(S5&lt;=W1,W1&lt;=U5),"○","")</f>
        <v/>
      </c>
      <c r="W5" s="128" t="str">
        <f t="shared" ref="W5:W10" si="7">IF(V5="○",$W$1-650000,"")</f>
        <v/>
      </c>
    </row>
    <row r="6" spans="1:23" ht="17.25" customHeight="1">
      <c r="A6" s="114">
        <f t="shared" si="0"/>
        <v>1619000</v>
      </c>
      <c r="B6" s="123" t="s">
        <v>105</v>
      </c>
      <c r="C6" s="114">
        <v>1619999</v>
      </c>
      <c r="D6" s="123" t="str">
        <f>IF(AND(A6&lt;=E1,E1&lt;=C6),"○","")</f>
        <v/>
      </c>
      <c r="E6" s="128" t="str">
        <f t="shared" si="1"/>
        <v/>
      </c>
      <c r="G6" s="114">
        <f t="shared" si="2"/>
        <v>1619000</v>
      </c>
      <c r="H6" s="123" t="s">
        <v>105</v>
      </c>
      <c r="I6" s="114">
        <v>1619999</v>
      </c>
      <c r="J6" s="123" t="str">
        <f>IF(AND(G6&lt;=K1,K1&lt;=I6),"○","")</f>
        <v/>
      </c>
      <c r="K6" s="128" t="str">
        <f t="shared" si="3"/>
        <v/>
      </c>
      <c r="M6" s="114">
        <f t="shared" si="4"/>
        <v>1619000</v>
      </c>
      <c r="N6" s="123" t="s">
        <v>105</v>
      </c>
      <c r="O6" s="114">
        <v>1619999</v>
      </c>
      <c r="P6" s="123" t="str">
        <f>IF(AND(M6&lt;=Q1,Q1&lt;=O6),"○","")</f>
        <v/>
      </c>
      <c r="Q6" s="128" t="str">
        <f t="shared" si="5"/>
        <v/>
      </c>
      <c r="S6" s="114">
        <f t="shared" si="6"/>
        <v>1619000</v>
      </c>
      <c r="T6" s="123" t="s">
        <v>105</v>
      </c>
      <c r="U6" s="114">
        <v>1619999</v>
      </c>
      <c r="V6" s="123" t="str">
        <f>IF(AND(S6&lt;=W1,W1&lt;=U6),"○","")</f>
        <v/>
      </c>
      <c r="W6" s="128" t="str">
        <f t="shared" si="7"/>
        <v/>
      </c>
    </row>
    <row r="7" spans="1:23" ht="17.25" customHeight="1">
      <c r="A7" s="114">
        <f t="shared" si="0"/>
        <v>1620000</v>
      </c>
      <c r="B7" s="123" t="s">
        <v>105</v>
      </c>
      <c r="C7" s="114">
        <v>1621999</v>
      </c>
      <c r="D7" s="123" t="str">
        <f>IF(AND(A7&lt;=E1,E1&lt;=C7),"○","")</f>
        <v/>
      </c>
      <c r="E7" s="128" t="str">
        <f t="shared" si="1"/>
        <v/>
      </c>
      <c r="G7" s="114">
        <f t="shared" si="2"/>
        <v>1620000</v>
      </c>
      <c r="H7" s="123" t="s">
        <v>105</v>
      </c>
      <c r="I7" s="114">
        <v>1621999</v>
      </c>
      <c r="J7" s="123" t="str">
        <f>IF(AND(G7&lt;=K1,K1&lt;=I7),"○","")</f>
        <v/>
      </c>
      <c r="K7" s="128" t="str">
        <f t="shared" si="3"/>
        <v/>
      </c>
      <c r="M7" s="114">
        <f t="shared" si="4"/>
        <v>1620000</v>
      </c>
      <c r="N7" s="123" t="s">
        <v>105</v>
      </c>
      <c r="O7" s="114">
        <v>1621999</v>
      </c>
      <c r="P7" s="123" t="str">
        <f>IF(AND(M7&lt;=Q1,Q1&lt;=O7),"○","")</f>
        <v/>
      </c>
      <c r="Q7" s="128" t="str">
        <f t="shared" si="5"/>
        <v/>
      </c>
      <c r="S7" s="114">
        <f t="shared" si="6"/>
        <v>1620000</v>
      </c>
      <c r="T7" s="123" t="s">
        <v>105</v>
      </c>
      <c r="U7" s="114">
        <v>1621999</v>
      </c>
      <c r="V7" s="123" t="str">
        <f>IF(AND(S7&lt;=W1,W1&lt;=U7),"○","")</f>
        <v/>
      </c>
      <c r="W7" s="128" t="str">
        <f t="shared" si="7"/>
        <v/>
      </c>
    </row>
    <row r="8" spans="1:23" ht="17.25" customHeight="1">
      <c r="A8" s="114">
        <f t="shared" si="0"/>
        <v>1622000</v>
      </c>
      <c r="B8" s="123" t="s">
        <v>105</v>
      </c>
      <c r="C8" s="114">
        <v>1623999</v>
      </c>
      <c r="D8" s="123" t="str">
        <f>IF(AND(A8&lt;=E1,E1&lt;=C8),"○","")</f>
        <v/>
      </c>
      <c r="E8" s="128" t="str">
        <f t="shared" si="1"/>
        <v/>
      </c>
      <c r="G8" s="114">
        <f t="shared" si="2"/>
        <v>1622000</v>
      </c>
      <c r="H8" s="123" t="s">
        <v>105</v>
      </c>
      <c r="I8" s="114">
        <v>1623999</v>
      </c>
      <c r="J8" s="123" t="str">
        <f>IF(AND(G8&lt;=K1,K1&lt;=I8),"○","")</f>
        <v/>
      </c>
      <c r="K8" s="128" t="str">
        <f t="shared" si="3"/>
        <v/>
      </c>
      <c r="M8" s="114">
        <f t="shared" si="4"/>
        <v>1622000</v>
      </c>
      <c r="N8" s="123" t="s">
        <v>105</v>
      </c>
      <c r="O8" s="114">
        <v>1623999</v>
      </c>
      <c r="P8" s="123" t="str">
        <f>IF(AND(M8&lt;=Q1,Q1&lt;=O8),"○","")</f>
        <v/>
      </c>
      <c r="Q8" s="128" t="str">
        <f t="shared" si="5"/>
        <v/>
      </c>
      <c r="S8" s="114">
        <f t="shared" si="6"/>
        <v>1622000</v>
      </c>
      <c r="T8" s="123" t="s">
        <v>105</v>
      </c>
      <c r="U8" s="114">
        <v>1623999</v>
      </c>
      <c r="V8" s="123" t="str">
        <f>IF(AND(S8&lt;=W1,W1&lt;=U8),"○","")</f>
        <v/>
      </c>
      <c r="W8" s="128" t="str">
        <f t="shared" si="7"/>
        <v/>
      </c>
    </row>
    <row r="9" spans="1:23" ht="17.25" customHeight="1">
      <c r="A9" s="114">
        <f t="shared" si="0"/>
        <v>1624000</v>
      </c>
      <c r="B9" s="123" t="s">
        <v>105</v>
      </c>
      <c r="C9" s="114">
        <v>1627999</v>
      </c>
      <c r="D9" s="123" t="str">
        <f>IF(AND(A9&lt;=E1,E1&lt;=C9),"○","")</f>
        <v/>
      </c>
      <c r="E9" s="128" t="str">
        <f t="shared" si="1"/>
        <v/>
      </c>
      <c r="G9" s="114">
        <f t="shared" si="2"/>
        <v>1624000</v>
      </c>
      <c r="H9" s="123" t="s">
        <v>105</v>
      </c>
      <c r="I9" s="114">
        <v>1627999</v>
      </c>
      <c r="J9" s="123" t="str">
        <f>IF(AND(G9&lt;=K1,K1&lt;=I9),"○","")</f>
        <v/>
      </c>
      <c r="K9" s="128" t="str">
        <f t="shared" si="3"/>
        <v/>
      </c>
      <c r="M9" s="114">
        <f t="shared" si="4"/>
        <v>1624000</v>
      </c>
      <c r="N9" s="123" t="s">
        <v>105</v>
      </c>
      <c r="O9" s="114">
        <v>1627999</v>
      </c>
      <c r="P9" s="123" t="str">
        <f>IF(AND(M9&lt;=Q1,Q1&lt;=O9),"○","")</f>
        <v/>
      </c>
      <c r="Q9" s="128" t="str">
        <f t="shared" si="5"/>
        <v/>
      </c>
      <c r="S9" s="114">
        <f t="shared" si="6"/>
        <v>1624000</v>
      </c>
      <c r="T9" s="123" t="s">
        <v>105</v>
      </c>
      <c r="U9" s="114">
        <v>1627999</v>
      </c>
      <c r="V9" s="123" t="str">
        <f>IF(AND(S9&lt;=W1,W1&lt;=U9),"○","")</f>
        <v/>
      </c>
      <c r="W9" s="128" t="str">
        <f t="shared" si="7"/>
        <v/>
      </c>
    </row>
    <row r="10" spans="1:23" ht="17.25" customHeight="1">
      <c r="A10" s="114">
        <f t="shared" si="0"/>
        <v>1628000</v>
      </c>
      <c r="B10" s="123" t="s">
        <v>105</v>
      </c>
      <c r="C10" s="114">
        <v>1899999</v>
      </c>
      <c r="D10" s="123" t="str">
        <f>IF(AND(A10&lt;=E1,E1&lt;=C10),"○","")</f>
        <v/>
      </c>
      <c r="E10" s="128" t="str">
        <f t="shared" si="1"/>
        <v/>
      </c>
      <c r="G10" s="114">
        <f t="shared" si="2"/>
        <v>1628000</v>
      </c>
      <c r="H10" s="123" t="s">
        <v>105</v>
      </c>
      <c r="I10" s="114">
        <v>1899999</v>
      </c>
      <c r="J10" s="123" t="str">
        <f>IF(AND(G10&lt;=K1,K1&lt;=I10),"○","")</f>
        <v/>
      </c>
      <c r="K10" s="128" t="str">
        <f t="shared" si="3"/>
        <v/>
      </c>
      <c r="M10" s="114">
        <f t="shared" si="4"/>
        <v>1628000</v>
      </c>
      <c r="N10" s="123" t="s">
        <v>105</v>
      </c>
      <c r="O10" s="114">
        <v>1899999</v>
      </c>
      <c r="P10" s="123" t="str">
        <f>IF(AND(M10&lt;=Q1,Q1&lt;=O10),"○","")</f>
        <v/>
      </c>
      <c r="Q10" s="128" t="str">
        <f t="shared" si="5"/>
        <v/>
      </c>
      <c r="S10" s="114">
        <f t="shared" si="6"/>
        <v>1628000</v>
      </c>
      <c r="T10" s="123" t="s">
        <v>105</v>
      </c>
      <c r="U10" s="114">
        <v>1899999</v>
      </c>
      <c r="V10" s="123" t="str">
        <f>IF(AND(S10&lt;=W1,W1&lt;=U10),"○","")</f>
        <v/>
      </c>
      <c r="W10" s="128" t="str">
        <f t="shared" si="7"/>
        <v/>
      </c>
    </row>
    <row r="11" spans="1:23" ht="17.25" customHeight="1">
      <c r="A11" s="114">
        <f t="shared" si="0"/>
        <v>1900000</v>
      </c>
      <c r="B11" s="123" t="s">
        <v>105</v>
      </c>
      <c r="C11" s="114">
        <v>3599999</v>
      </c>
      <c r="D11" s="123" t="str">
        <f>IF(AND(A11&lt;=E1,E1&lt;=C11),"○","")</f>
        <v/>
      </c>
      <c r="E11" s="128" t="str">
        <f>IF(D11="○",ROUNDDOWN(E1/4,-3)*2.8-80000,"")</f>
        <v/>
      </c>
      <c r="G11" s="114">
        <f t="shared" si="2"/>
        <v>1900000</v>
      </c>
      <c r="H11" s="123" t="s">
        <v>105</v>
      </c>
      <c r="I11" s="114">
        <v>3599999</v>
      </c>
      <c r="J11" s="123" t="str">
        <f>IF(AND(G11&lt;=K1,K1&lt;=I11),"○","")</f>
        <v/>
      </c>
      <c r="K11" s="128" t="str">
        <f>IF(J11="○",ROUNDDOWN(K1/4,-3)*2.8-80000,"")</f>
        <v/>
      </c>
      <c r="M11" s="114">
        <f t="shared" si="4"/>
        <v>1900000</v>
      </c>
      <c r="N11" s="123" t="s">
        <v>105</v>
      </c>
      <c r="O11" s="114">
        <v>3599999</v>
      </c>
      <c r="P11" s="123" t="str">
        <f>IF(AND(M11&lt;=Q1,Q1&lt;=O11),"○","")</f>
        <v/>
      </c>
      <c r="Q11" s="128" t="str">
        <f>IF(P11="○",ROUNDDOWN($Q$1/4,-3)*2.8-80000,"")</f>
        <v/>
      </c>
      <c r="S11" s="114">
        <f t="shared" si="6"/>
        <v>1900000</v>
      </c>
      <c r="T11" s="123" t="s">
        <v>105</v>
      </c>
      <c r="U11" s="114">
        <v>3599999</v>
      </c>
      <c r="V11" s="123" t="str">
        <f>IF(AND(S11&lt;=W1,W1&lt;=U11),"○","")</f>
        <v/>
      </c>
      <c r="W11" s="128" t="str">
        <f>IF(V11="○",ROUNDDOWN(W1/4,-3)*2.8-80000,"")</f>
        <v/>
      </c>
    </row>
    <row r="12" spans="1:23" ht="17.25" customHeight="1">
      <c r="A12" s="114">
        <f t="shared" si="0"/>
        <v>3600000</v>
      </c>
      <c r="B12" s="123" t="s">
        <v>105</v>
      </c>
      <c r="C12" s="114">
        <v>6599999</v>
      </c>
      <c r="D12" s="123" t="str">
        <f>IF(AND(A12&lt;=E1,E1&lt;=C12),"○","")</f>
        <v/>
      </c>
      <c r="E12" s="128" t="str">
        <f>IF(D12="○",ROUNDDOWN(E1/4,-3)*3.2-440000,"")</f>
        <v/>
      </c>
      <c r="G12" s="114">
        <f t="shared" si="2"/>
        <v>3600000</v>
      </c>
      <c r="H12" s="123" t="s">
        <v>105</v>
      </c>
      <c r="I12" s="114">
        <v>6599999</v>
      </c>
      <c r="J12" s="123" t="str">
        <f>IF(AND(G12&lt;=K1,K1&lt;=I12),"○","")</f>
        <v/>
      </c>
      <c r="K12" s="128" t="str">
        <f>IF(J12="○",ROUNDDOWN(K1/4,-3)*3.2-440000,"")</f>
        <v/>
      </c>
      <c r="M12" s="114">
        <f t="shared" si="4"/>
        <v>3600000</v>
      </c>
      <c r="N12" s="123" t="s">
        <v>105</v>
      </c>
      <c r="O12" s="114">
        <v>6599999</v>
      </c>
      <c r="P12" s="123" t="str">
        <f>IF(AND(M12&lt;=Q1,Q1&lt;=O12),"○","")</f>
        <v/>
      </c>
      <c r="Q12" s="128" t="str">
        <f>IF(P12="○",ROUNDDOWN($Q$1/4,-3)*3.2-440000,"")</f>
        <v/>
      </c>
      <c r="S12" s="114">
        <f t="shared" si="6"/>
        <v>3600000</v>
      </c>
      <c r="T12" s="123" t="s">
        <v>105</v>
      </c>
      <c r="U12" s="114">
        <v>6599999</v>
      </c>
      <c r="V12" s="123" t="str">
        <f>IF(AND(S12&lt;=W1,W1&lt;=U12),"○","")</f>
        <v/>
      </c>
      <c r="W12" s="128" t="str">
        <f>IF(V12="○",ROUNDDOWN(W1/4,-3)*3.2-440000,"")</f>
        <v/>
      </c>
    </row>
    <row r="13" spans="1:23" ht="17.25" customHeight="1">
      <c r="A13" s="114">
        <f t="shared" si="0"/>
        <v>6600000</v>
      </c>
      <c r="B13" s="123" t="s">
        <v>105</v>
      </c>
      <c r="C13" s="114">
        <v>8500000</v>
      </c>
      <c r="D13" s="123" t="str">
        <f>IF(AND(A13&lt;=E1,E1&lt;=C13),"○","")</f>
        <v/>
      </c>
      <c r="E13" s="128" t="str">
        <f>IF(D13="○",E1*0.9-1100000,"")</f>
        <v/>
      </c>
      <c r="G13" s="114">
        <f t="shared" si="2"/>
        <v>6600000</v>
      </c>
      <c r="H13" s="123" t="s">
        <v>105</v>
      </c>
      <c r="I13" s="114">
        <v>8500000</v>
      </c>
      <c r="J13" s="123" t="str">
        <f>IF(AND(G13&lt;=K1,K1&lt;=I13),"○","")</f>
        <v/>
      </c>
      <c r="K13" s="128" t="str">
        <f>IF(J13="○",K1*0.9-1100000,"")</f>
        <v/>
      </c>
      <c r="M13" s="114">
        <f t="shared" si="4"/>
        <v>6600000</v>
      </c>
      <c r="N13" s="123" t="s">
        <v>105</v>
      </c>
      <c r="O13" s="114">
        <v>8500000</v>
      </c>
      <c r="P13" s="123" t="str">
        <f>IF(AND(M13&lt;=Q1,Q1&lt;=O13),"○","")</f>
        <v/>
      </c>
      <c r="Q13" s="128" t="str">
        <f>IF(P13="○",Q1*0.9-1100000,"")</f>
        <v/>
      </c>
      <c r="S13" s="114">
        <f t="shared" si="6"/>
        <v>6600000</v>
      </c>
      <c r="T13" s="123" t="s">
        <v>105</v>
      </c>
      <c r="U13" s="114">
        <v>8500000</v>
      </c>
      <c r="V13" s="123" t="str">
        <f>IF(AND(S13&lt;=W1,W1&lt;=U13),"○","")</f>
        <v/>
      </c>
      <c r="W13" s="128" t="str">
        <f>IF(V13="○",W1*0.9-1100000,"")</f>
        <v/>
      </c>
    </row>
    <row r="14" spans="1:23" ht="17.25" customHeight="1">
      <c r="A14" s="114">
        <f t="shared" si="0"/>
        <v>8500001</v>
      </c>
      <c r="B14" s="123" t="s">
        <v>105</v>
      </c>
      <c r="C14" s="114">
        <v>999999999</v>
      </c>
      <c r="D14" s="123" t="str">
        <f>IF(AND(A14&lt;=E1,E1&lt;=C14),"○","")</f>
        <v/>
      </c>
      <c r="E14" s="128" t="str">
        <f>IF(D14="○",E1-1950000,"")</f>
        <v/>
      </c>
      <c r="G14" s="114">
        <f t="shared" si="2"/>
        <v>8500001</v>
      </c>
      <c r="H14" s="123" t="s">
        <v>105</v>
      </c>
      <c r="I14" s="114">
        <v>999999999</v>
      </c>
      <c r="J14" s="123" t="str">
        <f>IF(AND(G14&lt;=K1,K1&lt;=I14),"○","")</f>
        <v/>
      </c>
      <c r="K14" s="128" t="str">
        <f>IF(J14="○",K1-1950000,"")</f>
        <v/>
      </c>
      <c r="M14" s="114">
        <f t="shared" si="4"/>
        <v>8500001</v>
      </c>
      <c r="N14" s="123" t="s">
        <v>105</v>
      </c>
      <c r="O14" s="114">
        <v>999999999</v>
      </c>
      <c r="P14" s="123" t="str">
        <f>IF(AND(M14&lt;=Q1,Q1&lt;=O14),"○","")</f>
        <v/>
      </c>
      <c r="Q14" s="128" t="str">
        <f>IF(P14="○",Q1-1950000,"")</f>
        <v/>
      </c>
      <c r="S14" s="114">
        <f t="shared" si="6"/>
        <v>8500001</v>
      </c>
      <c r="T14" s="123" t="s">
        <v>105</v>
      </c>
      <c r="U14" s="114">
        <v>999999999</v>
      </c>
      <c r="V14" s="123" t="str">
        <f>IF(AND(S14&lt;=W1,W1&lt;=U14),"○","")</f>
        <v/>
      </c>
      <c r="W14" s="128" t="str">
        <f>IF(V14="○",W1-1950000,"")</f>
        <v/>
      </c>
    </row>
    <row r="16" spans="1:23" ht="17.25" customHeight="1">
      <c r="A16" t="s">
        <v>56</v>
      </c>
      <c r="D16" s="124" t="s">
        <v>106</v>
      </c>
      <c r="E16" s="126">
        <f>'【令和8年度】小浜市国民健康保険税試算'!G13</f>
        <v>0</v>
      </c>
      <c r="G16" t="s">
        <v>46</v>
      </c>
      <c r="J16" s="124" t="s">
        <v>106</v>
      </c>
      <c r="K16" s="126">
        <f>'【令和8年度】小浜市国民健康保険税試算'!G14</f>
        <v>0</v>
      </c>
      <c r="M16" t="s">
        <v>57</v>
      </c>
      <c r="P16" s="124" t="s">
        <v>106</v>
      </c>
      <c r="Q16" s="126">
        <f>'【令和8年度】小浜市国民健康保険税試算'!G15</f>
        <v>0</v>
      </c>
      <c r="S16" t="s">
        <v>58</v>
      </c>
      <c r="V16" s="124" t="s">
        <v>106</v>
      </c>
      <c r="W16" s="126">
        <f>'【令和8年度】小浜市国民健康保険税試算'!G16</f>
        <v>0</v>
      </c>
    </row>
    <row r="17" spans="1:23" ht="17.25" customHeight="1">
      <c r="C17" s="124"/>
      <c r="D17" s="125" t="s">
        <v>107</v>
      </c>
      <c r="E17" s="127">
        <f>MAX(E19:E29)</f>
        <v>0</v>
      </c>
      <c r="I17" s="124"/>
      <c r="J17" s="125" t="s">
        <v>107</v>
      </c>
      <c r="K17" s="127">
        <f>MAX(K19:K29)</f>
        <v>0</v>
      </c>
      <c r="O17" s="124"/>
      <c r="P17" s="125" t="s">
        <v>107</v>
      </c>
      <c r="Q17" s="127">
        <f>MAX(Q19:Q29)</f>
        <v>0</v>
      </c>
      <c r="U17" s="124"/>
      <c r="V17" s="125" t="s">
        <v>107</v>
      </c>
      <c r="W17" s="127">
        <f>MAX(W19:W29)</f>
        <v>0</v>
      </c>
    </row>
    <row r="18" spans="1:23" ht="17.25" customHeight="1">
      <c r="A18" s="122" t="s">
        <v>108</v>
      </c>
      <c r="B18" s="122"/>
      <c r="C18" s="122"/>
      <c r="D18" s="122" t="s">
        <v>109</v>
      </c>
      <c r="E18" s="122" t="s">
        <v>19</v>
      </c>
      <c r="G18" s="122" t="s">
        <v>108</v>
      </c>
      <c r="H18" s="122"/>
      <c r="I18" s="122"/>
      <c r="J18" s="122" t="s">
        <v>109</v>
      </c>
      <c r="K18" s="122" t="s">
        <v>19</v>
      </c>
      <c r="M18" s="122" t="s">
        <v>108</v>
      </c>
      <c r="N18" s="122"/>
      <c r="O18" s="122"/>
      <c r="P18" s="122" t="s">
        <v>109</v>
      </c>
      <c r="Q18" s="122" t="s">
        <v>19</v>
      </c>
      <c r="S18" s="122" t="s">
        <v>108</v>
      </c>
      <c r="T18" s="122"/>
      <c r="U18" s="122"/>
      <c r="V18" s="122" t="s">
        <v>109</v>
      </c>
      <c r="W18" s="122" t="s">
        <v>19</v>
      </c>
    </row>
    <row r="19" spans="1:23" ht="17.25" customHeight="1">
      <c r="A19" s="114">
        <v>0</v>
      </c>
      <c r="B19" s="123" t="s">
        <v>105</v>
      </c>
      <c r="C19" s="114">
        <v>649999</v>
      </c>
      <c r="D19" s="123" t="str">
        <f>IF(E16&lt;=C19,"○","")</f>
        <v>○</v>
      </c>
      <c r="E19" s="128">
        <f>IF(D19="○",0,"")</f>
        <v>0</v>
      </c>
      <c r="G19" s="114">
        <v>0</v>
      </c>
      <c r="H19" s="123" t="s">
        <v>105</v>
      </c>
      <c r="I19" s="114">
        <v>649999</v>
      </c>
      <c r="J19" s="123" t="str">
        <f>IF(K16&lt;=I19,"○","")</f>
        <v>○</v>
      </c>
      <c r="K19" s="128">
        <f>IF(J19="○",0,"")</f>
        <v>0</v>
      </c>
      <c r="M19" s="114">
        <v>0</v>
      </c>
      <c r="N19" s="123" t="s">
        <v>105</v>
      </c>
      <c r="O19" s="114">
        <v>649999</v>
      </c>
      <c r="P19" s="123" t="str">
        <f>IF(Q16&lt;=O19,"○","")</f>
        <v>○</v>
      </c>
      <c r="Q19" s="128">
        <f>IF(P19="○",0,"")</f>
        <v>0</v>
      </c>
      <c r="S19" s="114">
        <v>0</v>
      </c>
      <c r="T19" s="123" t="s">
        <v>105</v>
      </c>
      <c r="U19" s="114">
        <v>649999</v>
      </c>
      <c r="V19" s="123" t="str">
        <f>IF(W16&lt;=U19,"○","")</f>
        <v>○</v>
      </c>
      <c r="W19" s="128">
        <f>IF(V19="○",0,"")</f>
        <v>0</v>
      </c>
    </row>
    <row r="20" spans="1:23" ht="17.25" customHeight="1">
      <c r="A20" s="114">
        <f t="shared" ref="A20:A29" si="8">C19+1</f>
        <v>650000</v>
      </c>
      <c r="B20" s="123" t="s">
        <v>105</v>
      </c>
      <c r="C20" s="114">
        <v>1618999</v>
      </c>
      <c r="D20" s="123" t="str">
        <f>IF(AND(A20&lt;=E16,E16&lt;=C20),"○","")</f>
        <v/>
      </c>
      <c r="E20" s="128" t="str">
        <f t="shared" ref="E20:E25" si="9">IF(D20="○",$E$16-650000,"")</f>
        <v/>
      </c>
      <c r="G20" s="114">
        <f t="shared" ref="G20:G29" si="10">I19+1</f>
        <v>650000</v>
      </c>
      <c r="H20" s="123" t="s">
        <v>105</v>
      </c>
      <c r="I20" s="114">
        <v>1618999</v>
      </c>
      <c r="J20" s="123" t="str">
        <f>IF(AND(G20&lt;=K16,K16&lt;=I20),"○","")</f>
        <v/>
      </c>
      <c r="K20" s="128" t="str">
        <f t="shared" ref="K20:K25" si="11">IF(J20="○",$K$16-650000,"")</f>
        <v/>
      </c>
      <c r="M20" s="114">
        <f t="shared" ref="M20:M29" si="12">O19+1</f>
        <v>650000</v>
      </c>
      <c r="N20" s="123" t="s">
        <v>105</v>
      </c>
      <c r="O20" s="114">
        <v>1618999</v>
      </c>
      <c r="P20" s="123" t="str">
        <f>IF(AND(M20&lt;=Q16,Q16&lt;=O20),"○","")</f>
        <v/>
      </c>
      <c r="Q20" s="128" t="str">
        <f t="shared" ref="Q20:Q25" si="13">IF(P20="○",$Q$16-650000,"")</f>
        <v/>
      </c>
      <c r="S20" s="114">
        <f t="shared" ref="S20:S29" si="14">U19+1</f>
        <v>650000</v>
      </c>
      <c r="T20" s="123" t="s">
        <v>105</v>
      </c>
      <c r="U20" s="114">
        <v>1618999</v>
      </c>
      <c r="V20" s="123" t="str">
        <f>IF(AND(S20&lt;=W16,W16&lt;=U20),"○","")</f>
        <v/>
      </c>
      <c r="W20" s="128" t="str">
        <f t="shared" ref="W20:W25" si="15">IF(V20="○",$W$16-650000,"")</f>
        <v/>
      </c>
    </row>
    <row r="21" spans="1:23" ht="17.25" customHeight="1">
      <c r="A21" s="114">
        <f t="shared" si="8"/>
        <v>1619000</v>
      </c>
      <c r="B21" s="123" t="s">
        <v>105</v>
      </c>
      <c r="C21" s="114">
        <v>1619999</v>
      </c>
      <c r="D21" s="123" t="str">
        <f>IF(AND(A21&lt;=E16,E16&lt;=C21),"○","")</f>
        <v/>
      </c>
      <c r="E21" s="128" t="str">
        <f t="shared" si="9"/>
        <v/>
      </c>
      <c r="G21" s="114">
        <f t="shared" si="10"/>
        <v>1619000</v>
      </c>
      <c r="H21" s="123" t="s">
        <v>105</v>
      </c>
      <c r="I21" s="114">
        <v>1619999</v>
      </c>
      <c r="J21" s="123" t="str">
        <f>IF(AND(G21&lt;=K16,K16&lt;=I21),"○","")</f>
        <v/>
      </c>
      <c r="K21" s="128" t="str">
        <f t="shared" si="11"/>
        <v/>
      </c>
      <c r="M21" s="114">
        <f t="shared" si="12"/>
        <v>1619000</v>
      </c>
      <c r="N21" s="123" t="s">
        <v>105</v>
      </c>
      <c r="O21" s="114">
        <v>1619999</v>
      </c>
      <c r="P21" s="123" t="str">
        <f>IF(AND(M21&lt;=Q16,Q16&lt;=O21),"○","")</f>
        <v/>
      </c>
      <c r="Q21" s="128" t="str">
        <f t="shared" si="13"/>
        <v/>
      </c>
      <c r="S21" s="114">
        <f t="shared" si="14"/>
        <v>1619000</v>
      </c>
      <c r="T21" s="123" t="s">
        <v>105</v>
      </c>
      <c r="U21" s="114">
        <v>1619999</v>
      </c>
      <c r="V21" s="123" t="str">
        <f>IF(AND(S21&lt;=W16,W16&lt;=U21),"○","")</f>
        <v/>
      </c>
      <c r="W21" s="128" t="str">
        <f t="shared" si="15"/>
        <v/>
      </c>
    </row>
    <row r="22" spans="1:23" ht="17.25" customHeight="1">
      <c r="A22" s="114">
        <f t="shared" si="8"/>
        <v>1620000</v>
      </c>
      <c r="B22" s="123" t="s">
        <v>105</v>
      </c>
      <c r="C22" s="114">
        <v>1621999</v>
      </c>
      <c r="D22" s="123" t="str">
        <f>IF(AND(A22&lt;=E16,E16&lt;=C22),"○","")</f>
        <v/>
      </c>
      <c r="E22" s="128" t="str">
        <f t="shared" si="9"/>
        <v/>
      </c>
      <c r="G22" s="114">
        <f t="shared" si="10"/>
        <v>1620000</v>
      </c>
      <c r="H22" s="123" t="s">
        <v>105</v>
      </c>
      <c r="I22" s="114">
        <v>1621999</v>
      </c>
      <c r="J22" s="123" t="str">
        <f>IF(AND(G22&lt;=K16,K16&lt;=I22),"○","")</f>
        <v/>
      </c>
      <c r="K22" s="128" t="str">
        <f t="shared" si="11"/>
        <v/>
      </c>
      <c r="M22" s="114">
        <f t="shared" si="12"/>
        <v>1620000</v>
      </c>
      <c r="N22" s="123" t="s">
        <v>105</v>
      </c>
      <c r="O22" s="114">
        <v>1621999</v>
      </c>
      <c r="P22" s="123" t="str">
        <f>IF(AND(M22&lt;=Q16,Q16&lt;=O22),"○","")</f>
        <v/>
      </c>
      <c r="Q22" s="128" t="str">
        <f t="shared" si="13"/>
        <v/>
      </c>
      <c r="S22" s="114">
        <f t="shared" si="14"/>
        <v>1620000</v>
      </c>
      <c r="T22" s="123" t="s">
        <v>105</v>
      </c>
      <c r="U22" s="114">
        <v>1621999</v>
      </c>
      <c r="V22" s="123" t="str">
        <f>IF(AND(S22&lt;=W16,W16&lt;=U22),"○","")</f>
        <v/>
      </c>
      <c r="W22" s="128" t="str">
        <f t="shared" si="15"/>
        <v/>
      </c>
    </row>
    <row r="23" spans="1:23" ht="17.25" customHeight="1">
      <c r="A23" s="114">
        <f t="shared" si="8"/>
        <v>1622000</v>
      </c>
      <c r="B23" s="123" t="s">
        <v>105</v>
      </c>
      <c r="C23" s="114">
        <v>1623999</v>
      </c>
      <c r="D23" s="123" t="str">
        <f>IF(AND(A23&lt;=E16,E16&lt;=C23),"○","")</f>
        <v/>
      </c>
      <c r="E23" s="128" t="str">
        <f t="shared" si="9"/>
        <v/>
      </c>
      <c r="G23" s="114">
        <f t="shared" si="10"/>
        <v>1622000</v>
      </c>
      <c r="H23" s="123" t="s">
        <v>105</v>
      </c>
      <c r="I23" s="114">
        <v>1623999</v>
      </c>
      <c r="J23" s="123" t="str">
        <f>IF(AND(G23&lt;=K16,K16&lt;=I23),"○","")</f>
        <v/>
      </c>
      <c r="K23" s="128" t="str">
        <f t="shared" si="11"/>
        <v/>
      </c>
      <c r="M23" s="114">
        <f t="shared" si="12"/>
        <v>1622000</v>
      </c>
      <c r="N23" s="123" t="s">
        <v>105</v>
      </c>
      <c r="O23" s="114">
        <v>1623999</v>
      </c>
      <c r="P23" s="123" t="str">
        <f>IF(AND(M23&lt;=Q16,Q16&lt;=O23),"○","")</f>
        <v/>
      </c>
      <c r="Q23" s="128" t="str">
        <f t="shared" si="13"/>
        <v/>
      </c>
      <c r="S23" s="114">
        <f t="shared" si="14"/>
        <v>1622000</v>
      </c>
      <c r="T23" s="123" t="s">
        <v>105</v>
      </c>
      <c r="U23" s="114">
        <v>1623999</v>
      </c>
      <c r="V23" s="123" t="str">
        <f>IF(AND(S23&lt;=W16,W16&lt;=U23),"○","")</f>
        <v/>
      </c>
      <c r="W23" s="128" t="str">
        <f t="shared" si="15"/>
        <v/>
      </c>
    </row>
    <row r="24" spans="1:23" ht="17.25" customHeight="1">
      <c r="A24" s="114">
        <f t="shared" si="8"/>
        <v>1624000</v>
      </c>
      <c r="B24" s="123" t="s">
        <v>105</v>
      </c>
      <c r="C24" s="114">
        <v>1627999</v>
      </c>
      <c r="D24" s="123" t="str">
        <f>IF(AND(A24&lt;=E16,E16&lt;=C24),"○","")</f>
        <v/>
      </c>
      <c r="E24" s="128" t="str">
        <f t="shared" si="9"/>
        <v/>
      </c>
      <c r="G24" s="114">
        <f t="shared" si="10"/>
        <v>1624000</v>
      </c>
      <c r="H24" s="123" t="s">
        <v>105</v>
      </c>
      <c r="I24" s="114">
        <v>1627999</v>
      </c>
      <c r="J24" s="123" t="str">
        <f>IF(AND(G24&lt;=K16,K16&lt;=I24),"○","")</f>
        <v/>
      </c>
      <c r="K24" s="128" t="str">
        <f t="shared" si="11"/>
        <v/>
      </c>
      <c r="M24" s="114">
        <f t="shared" si="12"/>
        <v>1624000</v>
      </c>
      <c r="N24" s="123" t="s">
        <v>105</v>
      </c>
      <c r="O24" s="114">
        <v>1627999</v>
      </c>
      <c r="P24" s="123" t="str">
        <f>IF(AND(M24&lt;=Q16,Q16&lt;=O24),"○","")</f>
        <v/>
      </c>
      <c r="Q24" s="128" t="str">
        <f t="shared" si="13"/>
        <v/>
      </c>
      <c r="S24" s="114">
        <f t="shared" si="14"/>
        <v>1624000</v>
      </c>
      <c r="T24" s="123" t="s">
        <v>105</v>
      </c>
      <c r="U24" s="114">
        <v>1627999</v>
      </c>
      <c r="V24" s="123" t="str">
        <f>IF(AND(S24&lt;=W16,W16&lt;=U24),"○","")</f>
        <v/>
      </c>
      <c r="W24" s="128" t="str">
        <f t="shared" si="15"/>
        <v/>
      </c>
    </row>
    <row r="25" spans="1:23" ht="17.25" customHeight="1">
      <c r="A25" s="114">
        <f t="shared" si="8"/>
        <v>1628000</v>
      </c>
      <c r="B25" s="123" t="s">
        <v>105</v>
      </c>
      <c r="C25" s="114">
        <v>1899999</v>
      </c>
      <c r="D25" s="123" t="str">
        <f>IF(AND(A25&lt;=E16,E16&lt;=C25),"○","")</f>
        <v/>
      </c>
      <c r="E25" s="128" t="str">
        <f t="shared" si="9"/>
        <v/>
      </c>
      <c r="G25" s="114">
        <f t="shared" si="10"/>
        <v>1628000</v>
      </c>
      <c r="H25" s="123" t="s">
        <v>105</v>
      </c>
      <c r="I25" s="114">
        <v>1899999</v>
      </c>
      <c r="J25" s="123" t="str">
        <f>IF(AND(G25&lt;=K16,K16&lt;=I25),"○","")</f>
        <v/>
      </c>
      <c r="K25" s="128" t="str">
        <f t="shared" si="11"/>
        <v/>
      </c>
      <c r="M25" s="114">
        <f t="shared" si="12"/>
        <v>1628000</v>
      </c>
      <c r="N25" s="123" t="s">
        <v>105</v>
      </c>
      <c r="O25" s="114">
        <v>1899999</v>
      </c>
      <c r="P25" s="123" t="str">
        <f>IF(AND(M25&lt;=Q16,Q16&lt;=O25),"○","")</f>
        <v/>
      </c>
      <c r="Q25" s="128" t="str">
        <f t="shared" si="13"/>
        <v/>
      </c>
      <c r="S25" s="114">
        <f t="shared" si="14"/>
        <v>1628000</v>
      </c>
      <c r="T25" s="123" t="s">
        <v>105</v>
      </c>
      <c r="U25" s="114">
        <v>1899999</v>
      </c>
      <c r="V25" s="123" t="str">
        <f>IF(AND(S25&lt;=W16,W16&lt;=U25),"○","")</f>
        <v/>
      </c>
      <c r="W25" s="128" t="str">
        <f t="shared" si="15"/>
        <v/>
      </c>
    </row>
    <row r="26" spans="1:23" ht="17.25" customHeight="1">
      <c r="A26" s="114">
        <f t="shared" si="8"/>
        <v>1900000</v>
      </c>
      <c r="B26" s="123" t="s">
        <v>105</v>
      </c>
      <c r="C26" s="114">
        <v>3599999</v>
      </c>
      <c r="D26" s="123" t="str">
        <f>IF(AND(A26&lt;=E16,E16&lt;=C26),"○","")</f>
        <v/>
      </c>
      <c r="E26" s="128" t="str">
        <f>IF(D26="○",ROUNDDOWN(E16/4,-3)*2.8-80000,"")</f>
        <v/>
      </c>
      <c r="G26" s="114">
        <f t="shared" si="10"/>
        <v>1900000</v>
      </c>
      <c r="H26" s="123" t="s">
        <v>105</v>
      </c>
      <c r="I26" s="114">
        <v>3599999</v>
      </c>
      <c r="J26" s="123" t="str">
        <f>IF(AND(G26&lt;=K16,K16&lt;=I26),"○","")</f>
        <v/>
      </c>
      <c r="K26" s="128" t="str">
        <f>IF(J26="○",ROUNDDOWN(K16/4,-3)*2.8-80000,"")</f>
        <v/>
      </c>
      <c r="M26" s="114">
        <f t="shared" si="12"/>
        <v>1900000</v>
      </c>
      <c r="N26" s="123" t="s">
        <v>105</v>
      </c>
      <c r="O26" s="114">
        <v>3599999</v>
      </c>
      <c r="P26" s="123" t="str">
        <f>IF(AND(M26&lt;=Q16,Q16&lt;=O26),"○","")</f>
        <v/>
      </c>
      <c r="Q26" s="128" t="str">
        <f>IF(P26="○",ROUNDDOWN(Q16/4,-3)*2.8-80000,"")</f>
        <v/>
      </c>
      <c r="S26" s="114">
        <f t="shared" si="14"/>
        <v>1900000</v>
      </c>
      <c r="T26" s="123" t="s">
        <v>105</v>
      </c>
      <c r="U26" s="114">
        <v>3599999</v>
      </c>
      <c r="V26" s="123" t="str">
        <f>IF(AND(S26&lt;=W16,W16&lt;=U26),"○","")</f>
        <v/>
      </c>
      <c r="W26" s="128" t="str">
        <f>IF(V26="○",ROUNDDOWN(W16/4,-3)*2.8-80000,"")</f>
        <v/>
      </c>
    </row>
    <row r="27" spans="1:23" ht="17.25" customHeight="1">
      <c r="A27" s="114">
        <f t="shared" si="8"/>
        <v>3600000</v>
      </c>
      <c r="B27" s="123" t="s">
        <v>105</v>
      </c>
      <c r="C27" s="114">
        <v>6599999</v>
      </c>
      <c r="D27" s="123" t="str">
        <f>IF(AND(A27&lt;=E16,E16&lt;=C27),"○","")</f>
        <v/>
      </c>
      <c r="E27" s="128" t="str">
        <f>IF(D27="○",ROUNDDOWN(E16/4,-3)*3.2-440000,"")</f>
        <v/>
      </c>
      <c r="G27" s="114">
        <f t="shared" si="10"/>
        <v>3600000</v>
      </c>
      <c r="H27" s="123" t="s">
        <v>105</v>
      </c>
      <c r="I27" s="114">
        <v>6599999</v>
      </c>
      <c r="J27" s="123" t="str">
        <f>IF(AND(G27&lt;=K16,K16&lt;=I27),"○","")</f>
        <v/>
      </c>
      <c r="K27" s="128" t="str">
        <f>IF(J27="○",ROUNDDOWN(K16/4,-3)*3.2-440000,"")</f>
        <v/>
      </c>
      <c r="M27" s="114">
        <f t="shared" si="12"/>
        <v>3600000</v>
      </c>
      <c r="N27" s="123" t="s">
        <v>105</v>
      </c>
      <c r="O27" s="114">
        <v>6599999</v>
      </c>
      <c r="P27" s="123" t="str">
        <f>IF(AND(M27&lt;=Q16,Q16&lt;=O27),"○","")</f>
        <v/>
      </c>
      <c r="Q27" s="128" t="str">
        <f>IF(P27="○",ROUNDDOWN(Q16/4,-3)*3.2-440000,"")</f>
        <v/>
      </c>
      <c r="S27" s="114">
        <f t="shared" si="14"/>
        <v>3600000</v>
      </c>
      <c r="T27" s="123" t="s">
        <v>105</v>
      </c>
      <c r="U27" s="114">
        <v>6599999</v>
      </c>
      <c r="V27" s="123" t="str">
        <f>IF(AND(S27&lt;=W16,W16&lt;=U27),"○","")</f>
        <v/>
      </c>
      <c r="W27" s="128" t="str">
        <f>IF(V27="○",ROUNDDOWN(W16/4,-3)*3.2-440000,"")</f>
        <v/>
      </c>
    </row>
    <row r="28" spans="1:23" ht="17.25" customHeight="1">
      <c r="A28" s="114">
        <f t="shared" si="8"/>
        <v>6600000</v>
      </c>
      <c r="B28" s="123" t="s">
        <v>105</v>
      </c>
      <c r="C28" s="114">
        <v>8500000</v>
      </c>
      <c r="D28" s="123" t="str">
        <f>IF(AND(A28&lt;=E16,E16&lt;=C28),"○","")</f>
        <v/>
      </c>
      <c r="E28" s="128" t="str">
        <f>IF(D28="○",E16*0.9-1100000,"")</f>
        <v/>
      </c>
      <c r="G28" s="114">
        <f t="shared" si="10"/>
        <v>6600000</v>
      </c>
      <c r="H28" s="123" t="s">
        <v>105</v>
      </c>
      <c r="I28" s="114">
        <v>8500000</v>
      </c>
      <c r="J28" s="123" t="str">
        <f>IF(AND(G28&lt;=K16,K16&lt;=I28),"○","")</f>
        <v/>
      </c>
      <c r="K28" s="128" t="str">
        <f>IF(J28="○",K16*0.9-1100000,"")</f>
        <v/>
      </c>
      <c r="M28" s="114">
        <f t="shared" si="12"/>
        <v>6600000</v>
      </c>
      <c r="N28" s="123" t="s">
        <v>105</v>
      </c>
      <c r="O28" s="114">
        <v>8500000</v>
      </c>
      <c r="P28" s="123" t="str">
        <f>IF(AND(M28&lt;=Q16,Q16&lt;=O28),"○","")</f>
        <v/>
      </c>
      <c r="Q28" s="128" t="str">
        <f>IF(P28="○",Q16*0.9-1100000,"")</f>
        <v/>
      </c>
      <c r="S28" s="114">
        <f t="shared" si="14"/>
        <v>6600000</v>
      </c>
      <c r="T28" s="123" t="s">
        <v>105</v>
      </c>
      <c r="U28" s="114">
        <v>8500000</v>
      </c>
      <c r="V28" s="123" t="str">
        <f>IF(AND(S28&lt;=W16,W16&lt;=U28),"○","")</f>
        <v/>
      </c>
      <c r="W28" s="128" t="str">
        <f>IF(V28="○",W16*0.9-1100000,"")</f>
        <v/>
      </c>
    </row>
    <row r="29" spans="1:23" ht="17.25" customHeight="1">
      <c r="A29" s="114">
        <f t="shared" si="8"/>
        <v>8500001</v>
      </c>
      <c r="B29" s="123" t="s">
        <v>105</v>
      </c>
      <c r="C29" s="114">
        <v>999999999</v>
      </c>
      <c r="D29" s="123" t="str">
        <f>IF(AND(A29&lt;=E16,E16&lt;=C29),"○","")</f>
        <v/>
      </c>
      <c r="E29" s="128" t="str">
        <f>IF(D29="○",E16-1950000,"")</f>
        <v/>
      </c>
      <c r="G29" s="114">
        <f t="shared" si="10"/>
        <v>8500001</v>
      </c>
      <c r="H29" s="123" t="s">
        <v>105</v>
      </c>
      <c r="I29" s="114">
        <v>999999999</v>
      </c>
      <c r="J29" s="123" t="str">
        <f>IF(AND(G29&lt;=K16,K16&lt;=I29),"○","")</f>
        <v/>
      </c>
      <c r="K29" s="128" t="str">
        <f>IF(J29="○",K16-1950000,"")</f>
        <v/>
      </c>
      <c r="M29" s="114">
        <f t="shared" si="12"/>
        <v>8500001</v>
      </c>
      <c r="N29" s="123" t="s">
        <v>105</v>
      </c>
      <c r="O29" s="114">
        <v>999999999</v>
      </c>
      <c r="P29" s="123" t="str">
        <f>IF(AND(M29&lt;=Q16,Q16&lt;=O29),"○","")</f>
        <v/>
      </c>
      <c r="Q29" s="128" t="str">
        <f>IF(P29="○",Q16-1950000,"")</f>
        <v/>
      </c>
      <c r="S29" s="114">
        <f t="shared" si="14"/>
        <v>8500001</v>
      </c>
      <c r="T29" s="123" t="s">
        <v>105</v>
      </c>
      <c r="U29" s="114">
        <v>999999999</v>
      </c>
      <c r="V29" s="123" t="str">
        <f>IF(AND(S29&lt;=W16,W16&lt;=U29),"○","")</f>
        <v/>
      </c>
      <c r="W29" s="128" t="str">
        <f>IF(V29="○",W16-1950000,"")</f>
        <v/>
      </c>
    </row>
  </sheetData>
  <mergeCells count="8">
    <mergeCell ref="A3:C3"/>
    <mergeCell ref="G3:I3"/>
    <mergeCell ref="M3:O3"/>
    <mergeCell ref="S3:U3"/>
    <mergeCell ref="A18:C18"/>
    <mergeCell ref="G18:I18"/>
    <mergeCell ref="M18:O18"/>
    <mergeCell ref="S18:U18"/>
  </mergeCells>
  <phoneticPr fontId="1" type="Hiragana"/>
  <conditionalFormatting sqref="D4:D14">
    <cfRule type="containsText" dxfId="49" priority="29" text="○">
      <formula>NOT(ISERROR(SEARCH("○",D4)))</formula>
    </cfRule>
  </conditionalFormatting>
  <conditionalFormatting sqref="D19:D29">
    <cfRule type="containsText" dxfId="48" priority="27" text="○">
      <formula>NOT(ISERROR(SEARCH("○",D19)))</formula>
    </cfRule>
  </conditionalFormatting>
  <conditionalFormatting sqref="E4:E14">
    <cfRule type="expression" dxfId="47" priority="30">
      <formula>LEN(TRIM(E4))&gt;0</formula>
    </cfRule>
  </conditionalFormatting>
  <conditionalFormatting sqref="E19:E29">
    <cfRule type="expression" dxfId="46" priority="9">
      <formula>LEN(TRIM(E19))&gt;0</formula>
    </cfRule>
  </conditionalFormatting>
  <conditionalFormatting sqref="J4:J14">
    <cfRule type="containsText" dxfId="45" priority="28" text="○">
      <formula>NOT(ISERROR(SEARCH("○",J4)))</formula>
    </cfRule>
  </conditionalFormatting>
  <conditionalFormatting sqref="J19:J29">
    <cfRule type="containsText" dxfId="44" priority="26" text="○">
      <formula>NOT(ISERROR(SEARCH("○",J19)))</formula>
    </cfRule>
  </conditionalFormatting>
  <conditionalFormatting sqref="K4:K14">
    <cfRule type="expression" dxfId="43" priority="11">
      <formula>LEN(TRIM(K4))&gt;0</formula>
    </cfRule>
  </conditionalFormatting>
  <conditionalFormatting sqref="K19:K29">
    <cfRule type="expression" dxfId="42" priority="7">
      <formula>LEN(TRIM(K19))&gt;0</formula>
    </cfRule>
  </conditionalFormatting>
  <conditionalFormatting sqref="P4:P14">
    <cfRule type="containsText" dxfId="41" priority="25" text="○">
      <formula>NOT(ISERROR(SEARCH("○",P4)))</formula>
    </cfRule>
  </conditionalFormatting>
  <conditionalFormatting sqref="P19:P29">
    <cfRule type="containsText" dxfId="40" priority="24" text="○">
      <formula>NOT(ISERROR(SEARCH("○",P19)))</formula>
    </cfRule>
  </conditionalFormatting>
  <conditionalFormatting sqref="Q4:Q14">
    <cfRule type="expression" dxfId="39" priority="2">
      <formula>LEN(TRIM(Q4))&gt;0</formula>
    </cfRule>
  </conditionalFormatting>
  <conditionalFormatting sqref="Q19:Q29">
    <cfRule type="expression" dxfId="38" priority="3">
      <formula>LEN(TRIM(Q19))&gt;0</formula>
    </cfRule>
  </conditionalFormatting>
  <conditionalFormatting sqref="V4:V14">
    <cfRule type="containsText" dxfId="37" priority="23" text="○">
      <formula>NOT(ISERROR(SEARCH("○",V4)))</formula>
    </cfRule>
  </conditionalFormatting>
  <conditionalFormatting sqref="V19:V29">
    <cfRule type="containsText" dxfId="36" priority="22" text="○">
      <formula>NOT(ISERROR(SEARCH("○",V19)))</formula>
    </cfRule>
  </conditionalFormatting>
  <conditionalFormatting sqref="W4:W14">
    <cfRule type="expression" dxfId="35" priority="5">
      <formula>LEN(TRIM(W4))&gt;0</formula>
    </cfRule>
  </conditionalFormatting>
  <conditionalFormatting sqref="W19:W29">
    <cfRule type="expression" dxfId="34" priority="4">
      <formula>LEN(TRIM(W19))&gt;0</formula>
    </cfRule>
  </conditionalFormatting>
  <pageMargins left="0.7" right="0.7" top="0.75" bottom="0.75" header="0.511811023622047" footer="0.511811023622047"/>
  <pageSetup paperSize="9" fitToWidth="1" fitToHeight="1" orientation="portrait" usePrinterDefaults="1"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dimension ref="A1:BK34"/>
  <sheetViews>
    <sheetView view="pageBreakPreview" zoomScaleSheetLayoutView="100" workbookViewId="0">
      <selection activeCell="G4" sqref="G4"/>
    </sheetView>
  </sheetViews>
  <sheetFormatPr defaultColWidth="8.5" defaultRowHeight="13.5"/>
  <cols>
    <col min="1" max="1" width="9" style="129" customWidth="1"/>
    <col min="2" max="2" width="4.25" style="130" customWidth="1"/>
    <col min="3" max="3" width="12.625" style="129" customWidth="1"/>
    <col min="4" max="4" width="4.25" style="130" customWidth="1"/>
    <col min="5" max="5" width="10.875" style="129" customWidth="1"/>
    <col min="6" max="6" width="4.25" style="130" customWidth="1"/>
    <col min="7" max="7" width="9.75" style="129" customWidth="1"/>
    <col min="9" max="9" width="9" style="129" customWidth="1"/>
    <col min="10" max="10" width="4.25" style="130" customWidth="1"/>
    <col min="11" max="11" width="12.625" style="129" customWidth="1"/>
    <col min="12" max="12" width="4.25" style="130" customWidth="1"/>
    <col min="13" max="13" width="10.875" style="131" customWidth="1"/>
    <col min="14" max="14" width="4.25" style="130" customWidth="1"/>
    <col min="15" max="15" width="9.75" style="129" customWidth="1"/>
    <col min="17" max="17" width="9" style="129" customWidth="1"/>
    <col min="18" max="18" width="4.25" style="130" customWidth="1"/>
    <col min="19" max="19" width="12.625" style="131" customWidth="1"/>
    <col min="20" max="20" width="4.25" style="130" customWidth="1"/>
    <col min="21" max="21" width="10.875" style="131" customWidth="1"/>
    <col min="22" max="22" width="4.25" style="130" customWidth="1"/>
    <col min="23" max="23" width="9.75" style="129" customWidth="1"/>
    <col min="25" max="25" width="9" style="129" customWidth="1"/>
    <col min="26" max="26" width="4.25" style="130" customWidth="1"/>
    <col min="27" max="27" width="12.625" style="129" customWidth="1"/>
    <col min="28" max="28" width="4.25" style="130" customWidth="1"/>
    <col min="29" max="29" width="10.875" style="129" customWidth="1"/>
    <col min="30" max="30" width="4.25" style="130" customWidth="1"/>
    <col min="31" max="31" width="9.75" style="129" customWidth="1"/>
    <col min="33" max="33" width="9" style="129" customWidth="1"/>
    <col min="34" max="34" width="4.25" style="130" customWidth="1"/>
    <col min="35" max="35" width="12.625" style="129" customWidth="1"/>
    <col min="36" max="36" width="4.25" style="130" customWidth="1"/>
    <col min="37" max="37" width="10.875" style="129" customWidth="1"/>
    <col min="38" max="38" width="4.25" style="130" customWidth="1"/>
    <col min="39" max="39" width="9.75" style="129" customWidth="1"/>
    <col min="41" max="41" width="9" style="129" customWidth="1"/>
    <col min="42" max="42" width="4.25" style="130" customWidth="1"/>
    <col min="43" max="43" width="12.625" style="129" customWidth="1"/>
    <col min="44" max="44" width="4.25" style="130" customWidth="1"/>
    <col min="45" max="45" width="10.875" style="129" customWidth="1"/>
    <col min="46" max="46" width="4.25" style="130" customWidth="1"/>
    <col min="47" max="47" width="9.75" style="129" customWidth="1"/>
    <col min="49" max="49" width="9" style="129" customWidth="1"/>
    <col min="50" max="50" width="4.25" style="130" customWidth="1"/>
    <col min="51" max="51" width="12.625" style="129" customWidth="1"/>
    <col min="52" max="52" width="4.25" style="130" customWidth="1"/>
    <col min="53" max="53" width="10.875" style="129" customWidth="1"/>
    <col min="54" max="54" width="4.25" style="130" customWidth="1"/>
    <col min="55" max="55" width="9.75" style="129" customWidth="1"/>
    <col min="57" max="57" width="9" style="129" customWidth="1"/>
    <col min="58" max="58" width="4.25" style="130" customWidth="1"/>
    <col min="59" max="59" width="12.625" style="129" customWidth="1"/>
    <col min="60" max="60" width="4.25" style="130" customWidth="1"/>
    <col min="61" max="61" width="10.875" style="129" customWidth="1"/>
    <col min="62" max="62" width="4.25" style="130" customWidth="1"/>
    <col min="63" max="63" width="9.75" style="129" customWidth="1"/>
  </cols>
  <sheetData>
    <row r="1" spans="1:63">
      <c r="A1" s="129" t="s">
        <v>28</v>
      </c>
      <c r="B1" s="135" t="str">
        <f>'【令和8年度】小浜市国民健康保険税試算'!D9</f>
        <v/>
      </c>
      <c r="C1" s="138"/>
      <c r="D1" s="141"/>
      <c r="F1" s="138" t="s">
        <v>110</v>
      </c>
      <c r="G1" s="145">
        <f>'【令和8年度】小浜市国民健康保険税試算'!I9</f>
        <v>0</v>
      </c>
      <c r="H1" s="141"/>
      <c r="I1" s="129" t="s">
        <v>43</v>
      </c>
      <c r="J1" s="135" t="str">
        <f>'【令和8年度】小浜市国民健康保険税試算'!D10</f>
        <v/>
      </c>
      <c r="K1" s="138"/>
      <c r="L1" s="141"/>
      <c r="M1" s="149"/>
      <c r="N1" s="138" t="s">
        <v>110</v>
      </c>
      <c r="O1" s="145">
        <f>'【令和8年度】小浜市国民健康保険税試算'!I10</f>
        <v>0</v>
      </c>
      <c r="Q1" s="129" t="s">
        <v>54</v>
      </c>
      <c r="R1" s="135" t="str">
        <f>'【令和8年度】小浜市国民健康保険税試算'!D11</f>
        <v/>
      </c>
      <c r="S1" s="151"/>
      <c r="T1" s="141"/>
      <c r="U1" s="149"/>
      <c r="V1" s="138" t="s">
        <v>110</v>
      </c>
      <c r="W1" s="145">
        <f>'【令和8年度】小浜市国民健康保険税試算'!I11</f>
        <v>0</v>
      </c>
      <c r="Y1" s="129" t="s">
        <v>55</v>
      </c>
      <c r="Z1" s="135" t="str">
        <f>'【令和8年度】小浜市国民健康保険税試算'!D12</f>
        <v/>
      </c>
      <c r="AA1" s="138"/>
      <c r="AB1" s="141"/>
      <c r="AD1" s="138" t="s">
        <v>110</v>
      </c>
      <c r="AE1" s="145">
        <f>'【令和8年度】小浜市国民健康保険税試算'!I12</f>
        <v>0</v>
      </c>
      <c r="AG1" s="129" t="s">
        <v>56</v>
      </c>
      <c r="AH1" s="135" t="str">
        <f>'【令和8年度】小浜市国民健康保険税試算'!D13</f>
        <v/>
      </c>
      <c r="AI1" s="138"/>
      <c r="AJ1" s="141"/>
      <c r="AL1" s="138" t="s">
        <v>110</v>
      </c>
      <c r="AM1" s="145">
        <f>'【令和8年度】小浜市国民健康保険税試算'!I13</f>
        <v>0</v>
      </c>
      <c r="AO1" s="129" t="s">
        <v>46</v>
      </c>
      <c r="AP1" s="135" t="str">
        <f>'【令和8年度】小浜市国民健康保険税試算'!D14</f>
        <v/>
      </c>
      <c r="AQ1" s="138"/>
      <c r="AR1" s="141"/>
      <c r="AT1" s="138" t="s">
        <v>110</v>
      </c>
      <c r="AU1" s="145">
        <f>'【令和8年度】小浜市国民健康保険税試算'!I14</f>
        <v>0</v>
      </c>
      <c r="AW1" s="129" t="s">
        <v>57</v>
      </c>
      <c r="AX1" s="135" t="str">
        <f>'【令和8年度】小浜市国民健康保険税試算'!D15</f>
        <v/>
      </c>
      <c r="AY1" s="138"/>
      <c r="AZ1" s="141"/>
      <c r="BB1" s="138" t="s">
        <v>110</v>
      </c>
      <c r="BC1" s="145">
        <f>'【令和8年度】小浜市国民健康保険税試算'!I15</f>
        <v>0</v>
      </c>
      <c r="BE1" s="129" t="s">
        <v>58</v>
      </c>
      <c r="BF1" s="135" t="str">
        <f>'【令和8年度】小浜市国民健康保険税試算'!D16</f>
        <v/>
      </c>
      <c r="BG1" s="138"/>
      <c r="BH1" s="141"/>
      <c r="BJ1" s="138" t="s">
        <v>110</v>
      </c>
      <c r="BK1" s="145">
        <f>'【令和8年度】小浜市国民健康保険税試算'!I16</f>
        <v>0</v>
      </c>
    </row>
    <row r="2" spans="1:63">
      <c r="B2" s="129"/>
      <c r="D2" s="141"/>
      <c r="E2" s="138" t="s">
        <v>111</v>
      </c>
      <c r="F2" s="138"/>
      <c r="G2" s="145">
        <f>'【令和8年度】小浜市国民健康保険税試算'!H9+'【令和8年度】小浜市国民健康保険税試算'!K9</f>
        <v>0</v>
      </c>
      <c r="H2" s="141"/>
      <c r="J2" s="129"/>
      <c r="L2" s="141"/>
      <c r="M2" s="138" t="s">
        <v>111</v>
      </c>
      <c r="N2" s="138"/>
      <c r="O2" s="145">
        <f>'【令和8年度】小浜市国民健康保険税試算'!H10+'【令和8年度】小浜市国民健康保険税試算'!K10</f>
        <v>0</v>
      </c>
      <c r="R2" s="129"/>
      <c r="T2" s="141"/>
      <c r="U2" s="138" t="s">
        <v>111</v>
      </c>
      <c r="V2" s="138"/>
      <c r="W2" s="145">
        <f>'【令和8年度】小浜市国民健康保険税試算'!H11+'【令和8年度】小浜市国民健康保険税試算'!K11</f>
        <v>0</v>
      </c>
      <c r="Z2" s="129"/>
      <c r="AB2" s="141"/>
      <c r="AC2" s="138" t="s">
        <v>111</v>
      </c>
      <c r="AD2" s="138"/>
      <c r="AE2" s="145">
        <f>'【令和8年度】小浜市国民健康保険税試算'!H12+'【令和8年度】小浜市国民健康保険税試算'!K12</f>
        <v>0</v>
      </c>
      <c r="AH2" s="129"/>
      <c r="AJ2" s="141"/>
      <c r="AK2" s="138" t="s">
        <v>111</v>
      </c>
      <c r="AL2" s="138"/>
      <c r="AM2" s="145">
        <f>'【令和8年度】小浜市国民健康保険税試算'!H13+'【令和8年度】小浜市国民健康保険税試算'!K13</f>
        <v>0</v>
      </c>
      <c r="AP2" s="129"/>
      <c r="AR2" s="141"/>
      <c r="AS2" s="138" t="s">
        <v>111</v>
      </c>
      <c r="AT2" s="138"/>
      <c r="AU2" s="145">
        <f>'【令和8年度】小浜市国民健康保険税試算'!H14+'【令和8年度】小浜市国民健康保険税試算'!K14</f>
        <v>0</v>
      </c>
      <c r="AX2" s="129"/>
      <c r="AZ2" s="141"/>
      <c r="BA2" s="138" t="s">
        <v>111</v>
      </c>
      <c r="BB2" s="138"/>
      <c r="BC2" s="145">
        <f>'【令和8年度】小浜市国民健康保険税試算'!H15+'【令和8年度】小浜市国民健康保険税試算'!K15</f>
        <v>0</v>
      </c>
      <c r="BF2" s="129"/>
      <c r="BH2" s="141"/>
      <c r="BI2" s="138" t="s">
        <v>111</v>
      </c>
      <c r="BJ2" s="138"/>
      <c r="BK2" s="145">
        <f>'【令和8年度】小浜市国民健康保険税試算'!H16+'【令和8年度】小浜市国民健康保険税試算'!K16</f>
        <v>0</v>
      </c>
    </row>
    <row r="3" spans="1:63">
      <c r="A3" s="132"/>
      <c r="B3" s="136"/>
      <c r="C3" s="138"/>
      <c r="D3" s="140"/>
      <c r="E3" s="136"/>
      <c r="F3" s="138" t="s">
        <v>112</v>
      </c>
      <c r="G3" s="146">
        <f>MAX(G5:G34)</f>
        <v>0</v>
      </c>
      <c r="H3" s="141"/>
      <c r="I3" s="132"/>
      <c r="J3" s="136"/>
      <c r="K3" s="138"/>
      <c r="L3" s="140"/>
      <c r="M3" s="150"/>
      <c r="N3" s="138" t="s">
        <v>112</v>
      </c>
      <c r="O3" s="146">
        <f>MAX(O5:O34)</f>
        <v>0</v>
      </c>
      <c r="Q3" s="132"/>
      <c r="R3" s="136"/>
      <c r="S3" s="151"/>
      <c r="T3" s="140"/>
      <c r="U3" s="150"/>
      <c r="V3" s="138" t="s">
        <v>112</v>
      </c>
      <c r="W3" s="146">
        <f>MAX(W5:W34)</f>
        <v>0</v>
      </c>
      <c r="Y3" s="132"/>
      <c r="Z3" s="136"/>
      <c r="AA3" s="138"/>
      <c r="AB3" s="140"/>
      <c r="AC3" s="136"/>
      <c r="AD3" s="138" t="s">
        <v>112</v>
      </c>
      <c r="AE3" s="146">
        <f>MAX(AE5:AE34)</f>
        <v>0</v>
      </c>
      <c r="AG3" s="132"/>
      <c r="AH3" s="136"/>
      <c r="AI3" s="138"/>
      <c r="AJ3" s="140"/>
      <c r="AK3" s="136"/>
      <c r="AL3" s="138" t="s">
        <v>112</v>
      </c>
      <c r="AM3" s="146">
        <f>MAX(AM5:AM34)</f>
        <v>0</v>
      </c>
      <c r="AO3" s="132"/>
      <c r="AP3" s="136"/>
      <c r="AQ3" s="138"/>
      <c r="AR3" s="140"/>
      <c r="AS3" s="136"/>
      <c r="AT3" s="138" t="s">
        <v>112</v>
      </c>
      <c r="AU3" s="146">
        <f>MAX(AU5:AU34)</f>
        <v>0</v>
      </c>
      <c r="AW3" s="132"/>
      <c r="AX3" s="136"/>
      <c r="AY3" s="138"/>
      <c r="AZ3" s="140"/>
      <c r="BA3" s="136"/>
      <c r="BB3" s="138" t="s">
        <v>112</v>
      </c>
      <c r="BC3" s="146">
        <f>MAX(BC5:BC34)</f>
        <v>0</v>
      </c>
      <c r="BE3" s="132"/>
      <c r="BF3" s="136"/>
      <c r="BG3" s="138"/>
      <c r="BH3" s="140"/>
      <c r="BI3" s="136"/>
      <c r="BJ3" s="138" t="s">
        <v>112</v>
      </c>
      <c r="BK3" s="146">
        <f>MAX(BK5:BK34)</f>
        <v>0</v>
      </c>
    </row>
    <row r="4" spans="1:63">
      <c r="A4" s="133" t="s">
        <v>113</v>
      </c>
      <c r="B4" s="133"/>
      <c r="C4" s="133" t="s">
        <v>114</v>
      </c>
      <c r="D4" s="133"/>
      <c r="E4" s="142" t="s">
        <v>115</v>
      </c>
      <c r="F4" s="142"/>
      <c r="G4" s="133" t="s">
        <v>117</v>
      </c>
      <c r="H4" s="148"/>
      <c r="I4" s="133" t="s">
        <v>113</v>
      </c>
      <c r="J4" s="133"/>
      <c r="K4" s="133" t="s">
        <v>114</v>
      </c>
      <c r="L4" s="133"/>
      <c r="M4" s="142" t="s">
        <v>115</v>
      </c>
      <c r="N4" s="142"/>
      <c r="O4" s="133" t="s">
        <v>117</v>
      </c>
      <c r="Q4" s="133" t="s">
        <v>113</v>
      </c>
      <c r="R4" s="133"/>
      <c r="S4" s="133" t="s">
        <v>114</v>
      </c>
      <c r="T4" s="133"/>
      <c r="U4" s="142" t="s">
        <v>115</v>
      </c>
      <c r="V4" s="142"/>
      <c r="W4" s="133" t="s">
        <v>117</v>
      </c>
      <c r="Y4" s="133" t="s">
        <v>113</v>
      </c>
      <c r="Z4" s="133"/>
      <c r="AA4" s="133" t="s">
        <v>114</v>
      </c>
      <c r="AB4" s="133"/>
      <c r="AC4" s="142" t="s">
        <v>115</v>
      </c>
      <c r="AD4" s="142"/>
      <c r="AE4" s="133" t="s">
        <v>117</v>
      </c>
      <c r="AG4" s="134" t="s">
        <v>113</v>
      </c>
      <c r="AH4" s="134"/>
      <c r="AI4" s="133" t="s">
        <v>114</v>
      </c>
      <c r="AJ4" s="133"/>
      <c r="AK4" s="142" t="s">
        <v>115</v>
      </c>
      <c r="AL4" s="142"/>
      <c r="AM4" s="133" t="s">
        <v>117</v>
      </c>
      <c r="AO4" s="133" t="s">
        <v>113</v>
      </c>
      <c r="AP4" s="133"/>
      <c r="AQ4" s="133" t="s">
        <v>114</v>
      </c>
      <c r="AR4" s="133"/>
      <c r="AS4" s="142" t="s">
        <v>115</v>
      </c>
      <c r="AT4" s="142"/>
      <c r="AU4" s="133" t="s">
        <v>117</v>
      </c>
      <c r="AW4" s="133" t="s">
        <v>113</v>
      </c>
      <c r="AX4" s="133"/>
      <c r="AY4" s="133" t="s">
        <v>114</v>
      </c>
      <c r="AZ4" s="133"/>
      <c r="BA4" s="142" t="s">
        <v>115</v>
      </c>
      <c r="BB4" s="142"/>
      <c r="BC4" s="133" t="s">
        <v>117</v>
      </c>
      <c r="BE4" s="133" t="s">
        <v>113</v>
      </c>
      <c r="BF4" s="133"/>
      <c r="BG4" s="133" t="s">
        <v>114</v>
      </c>
      <c r="BH4" s="133"/>
      <c r="BI4" s="142" t="s">
        <v>115</v>
      </c>
      <c r="BJ4" s="142"/>
      <c r="BK4" s="133" t="s">
        <v>117</v>
      </c>
    </row>
    <row r="5" spans="1:63" ht="18.75" customHeight="1">
      <c r="A5" s="134" t="s">
        <v>118</v>
      </c>
      <c r="B5" s="137" t="str">
        <f>IF(B1&lt;65,"○","")</f>
        <v/>
      </c>
      <c r="C5" s="139" t="s">
        <v>61</v>
      </c>
      <c r="D5" s="137" t="str">
        <f>IF(B5="○",IF(G2&lt;=10000000,"○",""),"")</f>
        <v/>
      </c>
      <c r="E5" s="143" t="s">
        <v>26</v>
      </c>
      <c r="F5" s="137" t="str">
        <f>IF(D5="○",IF(G1&lt;=1300000,"○",""),"")</f>
        <v/>
      </c>
      <c r="G5" s="147" t="str">
        <f>IF(F5="○",MAX(0,G1-600000),"")</f>
        <v/>
      </c>
      <c r="I5" s="134" t="s">
        <v>118</v>
      </c>
      <c r="J5" s="137" t="str">
        <f>IF(J1&lt;65,"○","")</f>
        <v/>
      </c>
      <c r="K5" s="134" t="s">
        <v>61</v>
      </c>
      <c r="L5" s="137" t="str">
        <f>IF(J5="○",IF(O2&lt;=10000000,"○",""),"")</f>
        <v/>
      </c>
      <c r="M5" s="144" t="s">
        <v>26</v>
      </c>
      <c r="N5" s="137" t="str">
        <f>IF(L5="○",IF(O1&lt;=1300000,"○",""),"")</f>
        <v/>
      </c>
      <c r="O5" s="147" t="str">
        <f>IF(N5="○",MAX(0,O1-600000),"")</f>
        <v/>
      </c>
      <c r="Q5" s="134" t="s">
        <v>118</v>
      </c>
      <c r="R5" s="137" t="str">
        <f>IF(R1&lt;65,"○","")</f>
        <v/>
      </c>
      <c r="S5" s="139" t="s">
        <v>61</v>
      </c>
      <c r="T5" s="137" t="str">
        <f>IF(R5="○",IF(W2&lt;=10000000,"○",""),"")</f>
        <v/>
      </c>
      <c r="U5" s="144" t="s">
        <v>26</v>
      </c>
      <c r="V5" s="137" t="str">
        <f>IF(T5="○",IF(W1&lt;=1300000,"○",""),"")</f>
        <v/>
      </c>
      <c r="W5" s="147" t="str">
        <f>IF(V5="○",MAX(0,W1-600000),"")</f>
        <v/>
      </c>
      <c r="Y5" s="134" t="s">
        <v>118</v>
      </c>
      <c r="Z5" s="137" t="str">
        <f>IF(Z1&lt;65,"○","")</f>
        <v/>
      </c>
      <c r="AA5" s="139" t="s">
        <v>61</v>
      </c>
      <c r="AB5" s="137" t="str">
        <f>IF(Z5="○",IF(AE2&lt;=10000000,"○",""),"")</f>
        <v/>
      </c>
      <c r="AC5" s="144" t="s">
        <v>26</v>
      </c>
      <c r="AD5" s="137" t="str">
        <f>IF(AB5="○",IF(AE1&lt;=1300000,"○",""),"")</f>
        <v/>
      </c>
      <c r="AE5" s="147" t="str">
        <f>IF(AD5="○",MAX(0,AE1-600000),"")</f>
        <v/>
      </c>
      <c r="AG5" s="134" t="s">
        <v>118</v>
      </c>
      <c r="AH5" s="137" t="str">
        <f>IF(AH1&lt;65,"○","")</f>
        <v/>
      </c>
      <c r="AI5" s="139" t="s">
        <v>61</v>
      </c>
      <c r="AJ5" s="137" t="str">
        <f>IF(AH5="○",IF(AM2&lt;=10000000,"○",""),"")</f>
        <v/>
      </c>
      <c r="AK5" s="144" t="s">
        <v>26</v>
      </c>
      <c r="AL5" s="137" t="str">
        <f>IF(AJ5="○",IF(AM1&lt;=1300000,"○",""),"")</f>
        <v/>
      </c>
      <c r="AM5" s="147" t="str">
        <f>IF(AL5="○",MAX(0,AM1-600000),"")</f>
        <v/>
      </c>
      <c r="AO5" s="134" t="s">
        <v>118</v>
      </c>
      <c r="AP5" s="137" t="str">
        <f>IF(AP1&lt;65,"○","")</f>
        <v/>
      </c>
      <c r="AQ5" s="139" t="s">
        <v>61</v>
      </c>
      <c r="AR5" s="137" t="str">
        <f>IF(AP5="○",IF(AU2&lt;=10000000,"○",""),"")</f>
        <v/>
      </c>
      <c r="AS5" s="144" t="s">
        <v>26</v>
      </c>
      <c r="AT5" s="137" t="str">
        <f>IF(AR5="○",IF(AU1&lt;=1300000,"○",""),"")</f>
        <v/>
      </c>
      <c r="AU5" s="147" t="str">
        <f>IF(AT5="○",MAX(0,AU1-600000),"")</f>
        <v/>
      </c>
      <c r="AW5" s="134" t="s">
        <v>118</v>
      </c>
      <c r="AX5" s="137" t="str">
        <f>IF(AX1&lt;65,"○","")</f>
        <v/>
      </c>
      <c r="AY5" s="139" t="s">
        <v>61</v>
      </c>
      <c r="AZ5" s="137" t="str">
        <f>IF(AX5="○",IF(BC2&lt;=10000000,"○",""),"")</f>
        <v/>
      </c>
      <c r="BA5" s="144" t="s">
        <v>26</v>
      </c>
      <c r="BB5" s="137" t="str">
        <f>IF(AZ5="○",IF(BC1&lt;=1300000,"○",""),"")</f>
        <v/>
      </c>
      <c r="BC5" s="147" t="str">
        <f>IF(BB5="○",MAX(0,BC1-600000),"")</f>
        <v/>
      </c>
      <c r="BE5" s="134" t="s">
        <v>118</v>
      </c>
      <c r="BF5" s="137" t="str">
        <f>IF(BF1&lt;65,"○","")</f>
        <v/>
      </c>
      <c r="BG5" s="139" t="s">
        <v>61</v>
      </c>
      <c r="BH5" s="137" t="str">
        <f>IF(BF5="○",IF(BK2&lt;=10000000,"○",""),"")</f>
        <v/>
      </c>
      <c r="BI5" s="144" t="s">
        <v>26</v>
      </c>
      <c r="BJ5" s="137" t="str">
        <f>IF(BH5="○",IF(BK1&lt;=1300000,"○",""),"")</f>
        <v/>
      </c>
      <c r="BK5" s="147" t="str">
        <f>IF(BJ5="○",MAX(0,BK1-600000),"")</f>
        <v/>
      </c>
    </row>
    <row r="6" spans="1:63" ht="18.75" customHeight="1">
      <c r="A6" s="134"/>
      <c r="B6" s="137"/>
      <c r="C6" s="139"/>
      <c r="D6" s="137"/>
      <c r="E6" s="144" t="s">
        <v>119</v>
      </c>
      <c r="F6" s="137" t="str">
        <f>IF(D5="○",IF(AND(1300000&lt;G1,G1&lt;=4100000),"○",""),"")</f>
        <v/>
      </c>
      <c r="G6" s="147" t="str">
        <f>IF(F6="○",MAX(0,G1*0.75-275000),"")</f>
        <v/>
      </c>
      <c r="I6" s="134"/>
      <c r="J6" s="137"/>
      <c r="K6" s="134"/>
      <c r="L6" s="137"/>
      <c r="M6" s="144" t="s">
        <v>119</v>
      </c>
      <c r="N6" s="137" t="str">
        <f>IF(L5="○",IF(AND(1300000&lt;O1,O1&lt;=4100000),"○",""),"")</f>
        <v/>
      </c>
      <c r="O6" s="147" t="str">
        <f>IF(N6="○",MAX(0,O1*0.75-275000),"")</f>
        <v/>
      </c>
      <c r="Q6" s="134"/>
      <c r="R6" s="137"/>
      <c r="S6" s="139"/>
      <c r="T6" s="137"/>
      <c r="U6" s="144" t="s">
        <v>119</v>
      </c>
      <c r="V6" s="137" t="str">
        <f>IF(T5="○",IF(AND(1300000&lt;W1,W1&lt;=4100000),"○",""),"")</f>
        <v/>
      </c>
      <c r="W6" s="147" t="str">
        <f>IF(V6="○",MAX(0,W1*0.75-275000),"")</f>
        <v/>
      </c>
      <c r="Y6" s="134"/>
      <c r="Z6" s="137"/>
      <c r="AA6" s="139"/>
      <c r="AB6" s="137"/>
      <c r="AC6" s="144" t="s">
        <v>119</v>
      </c>
      <c r="AD6" s="137" t="str">
        <f>IF(AB5="○",IF(AND(1300000&lt;AE1,AE1&lt;=4100000),"○",""),"")</f>
        <v/>
      </c>
      <c r="AE6" s="147" t="str">
        <f>IF(AD6="○",MAX(0,AE1*0.75-275000),"")</f>
        <v/>
      </c>
      <c r="AG6" s="134"/>
      <c r="AH6" s="137"/>
      <c r="AI6" s="139"/>
      <c r="AJ6" s="137"/>
      <c r="AK6" s="144" t="s">
        <v>119</v>
      </c>
      <c r="AL6" s="137" t="str">
        <f>IF(AJ5="○",IF(AND(1300000&lt;AM1,AM1&lt;=4100000),"○",""),"")</f>
        <v/>
      </c>
      <c r="AM6" s="147" t="str">
        <f>IF(AL6="○",MAX(0,AM1*0.75-275000),"")</f>
        <v/>
      </c>
      <c r="AO6" s="134"/>
      <c r="AP6" s="137"/>
      <c r="AQ6" s="139"/>
      <c r="AR6" s="137"/>
      <c r="AS6" s="144" t="s">
        <v>119</v>
      </c>
      <c r="AT6" s="137" t="str">
        <f>IF(AR5="○",IF(AND(1300000&lt;AU1,AU1&lt;=4100000),"○",""),"")</f>
        <v/>
      </c>
      <c r="AU6" s="147" t="str">
        <f>IF(AT6="○",MAX(0,AU1*0.75-275000),"")</f>
        <v/>
      </c>
      <c r="AW6" s="134"/>
      <c r="AX6" s="137"/>
      <c r="AY6" s="139"/>
      <c r="AZ6" s="137"/>
      <c r="BA6" s="144" t="s">
        <v>119</v>
      </c>
      <c r="BB6" s="137" t="str">
        <f>IF(AZ5="○",IF(AND(1300000&lt;BC1,BC1&lt;=4100000),"○",""),"")</f>
        <v/>
      </c>
      <c r="BC6" s="147" t="str">
        <f>IF(BB6="○",MAX(0,BC1*0.75-275000),"")</f>
        <v/>
      </c>
      <c r="BE6" s="134"/>
      <c r="BF6" s="137"/>
      <c r="BG6" s="139"/>
      <c r="BH6" s="137"/>
      <c r="BI6" s="144" t="s">
        <v>119</v>
      </c>
      <c r="BJ6" s="137" t="str">
        <f>IF(BH5="○",IF(AND(1300000&lt;BK1,BK1&lt;=4100000),"○",""),"")</f>
        <v/>
      </c>
      <c r="BK6" s="147" t="str">
        <f>IF(BJ6="○",MAX(0,BK1*0.75-275000),"")</f>
        <v/>
      </c>
    </row>
    <row r="7" spans="1:63" ht="18.75" customHeight="1">
      <c r="A7" s="134"/>
      <c r="B7" s="137"/>
      <c r="C7" s="139"/>
      <c r="D7" s="137"/>
      <c r="E7" s="144" t="s">
        <v>120</v>
      </c>
      <c r="F7" s="137" t="str">
        <f>IF(D5="○",IF(AND(4100000&lt;G1,G1&lt;=7700000),"○",""),"")</f>
        <v/>
      </c>
      <c r="G7" s="147" t="str">
        <f>IF(F7="○",MAX(0,G1*0.85-685000),"")</f>
        <v/>
      </c>
      <c r="I7" s="134"/>
      <c r="J7" s="137"/>
      <c r="K7" s="134"/>
      <c r="L7" s="137"/>
      <c r="M7" s="144" t="s">
        <v>120</v>
      </c>
      <c r="N7" s="137" t="str">
        <f>IF(L5="○",IF(AND(4100000&lt;O1,O1&lt;=7700000),"○",""),"")</f>
        <v/>
      </c>
      <c r="O7" s="147" t="str">
        <f>IF(N7="○",MAX(0,O1*0.85-685000),"")</f>
        <v/>
      </c>
      <c r="Q7" s="134"/>
      <c r="R7" s="137"/>
      <c r="S7" s="139"/>
      <c r="T7" s="137"/>
      <c r="U7" s="144" t="s">
        <v>120</v>
      </c>
      <c r="V7" s="137" t="str">
        <f>IF(T5="○",IF(AND(4100000&lt;W1,W1&lt;=7700000),"○",""),"")</f>
        <v/>
      </c>
      <c r="W7" s="147" t="str">
        <f>IF(V7="○",MAX(0,W1*0.85-685000),"")</f>
        <v/>
      </c>
      <c r="Y7" s="134"/>
      <c r="Z7" s="137"/>
      <c r="AA7" s="139"/>
      <c r="AB7" s="137"/>
      <c r="AC7" s="144" t="s">
        <v>120</v>
      </c>
      <c r="AD7" s="137" t="str">
        <f>IF(AB5="○",IF(AND(4100000&lt;AE1,AE1&lt;=7700000),"○",""),"")</f>
        <v/>
      </c>
      <c r="AE7" s="147" t="str">
        <f>IF(AD7="○",MAX(0,AE1*0.85-685000),"")</f>
        <v/>
      </c>
      <c r="AG7" s="134"/>
      <c r="AH7" s="137"/>
      <c r="AI7" s="139"/>
      <c r="AJ7" s="137"/>
      <c r="AK7" s="144" t="s">
        <v>120</v>
      </c>
      <c r="AL7" s="137" t="str">
        <f>IF(AJ5="○",IF(AND(4100000&lt;AM1,AM1&lt;=7700000),"○",""),"")</f>
        <v/>
      </c>
      <c r="AM7" s="147" t="str">
        <f>IF(AL7="○",MAX(0,AM1*0.85-685000),"")</f>
        <v/>
      </c>
      <c r="AO7" s="134"/>
      <c r="AP7" s="137"/>
      <c r="AQ7" s="139"/>
      <c r="AR7" s="137"/>
      <c r="AS7" s="144" t="s">
        <v>120</v>
      </c>
      <c r="AT7" s="137" t="str">
        <f>IF(AR5="○",IF(AND(4100000&lt;AU1,AU1&lt;=7700000),"○",""),"")</f>
        <v/>
      </c>
      <c r="AU7" s="147" t="str">
        <f>IF(AT7="○",MAX(0,AU1*0.85-685000),"")</f>
        <v/>
      </c>
      <c r="AW7" s="134"/>
      <c r="AX7" s="137"/>
      <c r="AY7" s="139"/>
      <c r="AZ7" s="137"/>
      <c r="BA7" s="144" t="s">
        <v>120</v>
      </c>
      <c r="BB7" s="137" t="str">
        <f>IF(AZ5="○",IF(AND(4100000&lt;BC1,BC1&lt;=7700000),"○",""),"")</f>
        <v/>
      </c>
      <c r="BC7" s="147" t="str">
        <f>IF(BB7="○",MAX(0,BC1*0.85-685000),"")</f>
        <v/>
      </c>
      <c r="BE7" s="134"/>
      <c r="BF7" s="137"/>
      <c r="BG7" s="139"/>
      <c r="BH7" s="137"/>
      <c r="BI7" s="144" t="s">
        <v>120</v>
      </c>
      <c r="BJ7" s="137" t="str">
        <f>IF(BH5="○",IF(AND(4100000&lt;BK1,BK1&lt;=7700000),"○",""),"")</f>
        <v/>
      </c>
      <c r="BK7" s="147" t="str">
        <f>IF(BJ7="○",MAX(0,BK1*0.85-685000),"")</f>
        <v/>
      </c>
    </row>
    <row r="8" spans="1:63" ht="18.75" customHeight="1">
      <c r="A8" s="134"/>
      <c r="B8" s="137"/>
      <c r="C8" s="139"/>
      <c r="D8" s="137"/>
      <c r="E8" s="144" t="s">
        <v>121</v>
      </c>
      <c r="F8" s="137" t="str">
        <f>IF(D5="○",IF(AND(7700000&lt;G1,G1&lt;=10000000),"○",""),"")</f>
        <v/>
      </c>
      <c r="G8" s="147" t="str">
        <f>IF(F8="○",MAX(0,G1*0.95-1455000),"")</f>
        <v/>
      </c>
      <c r="I8" s="134"/>
      <c r="J8" s="137"/>
      <c r="K8" s="134"/>
      <c r="L8" s="137"/>
      <c r="M8" s="144" t="s">
        <v>121</v>
      </c>
      <c r="N8" s="137" t="str">
        <f>IF(L5="○",IF(AND(7700000&lt;O1,O1&lt;=10000000),"○",""),"")</f>
        <v/>
      </c>
      <c r="O8" s="147" t="str">
        <f>IF(N8="○",MAX(0,O1*0.95-1455000),"")</f>
        <v/>
      </c>
      <c r="Q8" s="134"/>
      <c r="R8" s="137"/>
      <c r="S8" s="139"/>
      <c r="T8" s="137"/>
      <c r="U8" s="144" t="s">
        <v>121</v>
      </c>
      <c r="V8" s="137" t="str">
        <f>IF(T5="○",IF(AND(7700000&lt;W1,W1&lt;=10000000),"○",""),"")</f>
        <v/>
      </c>
      <c r="W8" s="147" t="str">
        <f>IF(V8="○",MAX(0,W1*0.95-1455000),"")</f>
        <v/>
      </c>
      <c r="Y8" s="134"/>
      <c r="Z8" s="137"/>
      <c r="AA8" s="139"/>
      <c r="AB8" s="137"/>
      <c r="AC8" s="144" t="s">
        <v>121</v>
      </c>
      <c r="AD8" s="137" t="str">
        <f>IF(AB5="○",IF(AND(7700000&lt;AE1,AE1&lt;=10000000),"○",""),"")</f>
        <v/>
      </c>
      <c r="AE8" s="147" t="str">
        <f>IF(AD8="○",MAX(0,AE1*0.95-1455000),"")</f>
        <v/>
      </c>
      <c r="AG8" s="134"/>
      <c r="AH8" s="137"/>
      <c r="AI8" s="139"/>
      <c r="AJ8" s="137"/>
      <c r="AK8" s="144" t="s">
        <v>121</v>
      </c>
      <c r="AL8" s="137" t="str">
        <f>IF(AJ5="○",IF(AND(7700000&lt;AM1,AM1&lt;=10000000),"○",""),"")</f>
        <v/>
      </c>
      <c r="AM8" s="147" t="str">
        <f>IF(AL8="○",MAX(0,AM1*0.95-1455000),"")</f>
        <v/>
      </c>
      <c r="AO8" s="134"/>
      <c r="AP8" s="137"/>
      <c r="AQ8" s="139"/>
      <c r="AR8" s="137"/>
      <c r="AS8" s="144" t="s">
        <v>121</v>
      </c>
      <c r="AT8" s="137" t="str">
        <f>IF(AR5="○",IF(AND(7700000&lt;AU1,AU1&lt;=10000000),"○",""),"")</f>
        <v/>
      </c>
      <c r="AU8" s="147" t="str">
        <f>IF(AT8="○",MAX(0,AU1*0.95-1455000),"")</f>
        <v/>
      </c>
      <c r="AW8" s="134"/>
      <c r="AX8" s="137"/>
      <c r="AY8" s="139"/>
      <c r="AZ8" s="137"/>
      <c r="BA8" s="144" t="s">
        <v>121</v>
      </c>
      <c r="BB8" s="137" t="str">
        <f>IF(AZ5="○",IF(AND(7700000&lt;BC1,BC1&lt;=10000000),"○",""),"")</f>
        <v/>
      </c>
      <c r="BC8" s="147" t="str">
        <f>IF(BB8="○",MAX(0,BC1*0.95-1455000),"")</f>
        <v/>
      </c>
      <c r="BE8" s="134"/>
      <c r="BF8" s="137"/>
      <c r="BG8" s="139"/>
      <c r="BH8" s="137"/>
      <c r="BI8" s="144" t="s">
        <v>121</v>
      </c>
      <c r="BJ8" s="137" t="str">
        <f>IF(BH5="○",IF(AND(7700000&lt;BK1,BK1&lt;=10000000),"○",""),"")</f>
        <v/>
      </c>
      <c r="BK8" s="147" t="str">
        <f>IF(BJ8="○",MAX(0,BK1*0.95-1455000),"")</f>
        <v/>
      </c>
    </row>
    <row r="9" spans="1:63" ht="18.75" customHeight="1">
      <c r="A9" s="134"/>
      <c r="B9" s="137"/>
      <c r="C9" s="139"/>
      <c r="D9" s="137"/>
      <c r="E9" s="144" t="s">
        <v>122</v>
      </c>
      <c r="F9" s="137" t="str">
        <f>IF(D5="○",IF(10000000&lt;G1,"○",""),"")</f>
        <v/>
      </c>
      <c r="G9" s="147" t="str">
        <f>IF(F9="○",MAX(0,G1-1955000),"")</f>
        <v/>
      </c>
      <c r="I9" s="134"/>
      <c r="J9" s="137"/>
      <c r="K9" s="134"/>
      <c r="L9" s="137"/>
      <c r="M9" s="144" t="s">
        <v>122</v>
      </c>
      <c r="N9" s="137" t="str">
        <f>IF(L5="○",IF(10000000&lt;O1,"○",""),"")</f>
        <v/>
      </c>
      <c r="O9" s="147" t="str">
        <f>IF(N9="○",MAX(0,O1-1955000),"")</f>
        <v/>
      </c>
      <c r="Q9" s="134"/>
      <c r="R9" s="137"/>
      <c r="S9" s="139"/>
      <c r="T9" s="137"/>
      <c r="U9" s="144" t="s">
        <v>122</v>
      </c>
      <c r="V9" s="137" t="str">
        <f>IF(T5="○",IF(10000000&lt;W1,"○",""),"")</f>
        <v/>
      </c>
      <c r="W9" s="147" t="str">
        <f>IF(V9="○",MAX(0,W1-1955000),"")</f>
        <v/>
      </c>
      <c r="Y9" s="134"/>
      <c r="Z9" s="137"/>
      <c r="AA9" s="139"/>
      <c r="AB9" s="137"/>
      <c r="AC9" s="144" t="s">
        <v>122</v>
      </c>
      <c r="AD9" s="137" t="str">
        <f>IF(AB5="○",IF(10000000&lt;AE1,"○",""),"")</f>
        <v/>
      </c>
      <c r="AE9" s="147" t="str">
        <f>IF(AD9="○",MAX(0,AE1-1955000),"")</f>
        <v/>
      </c>
      <c r="AG9" s="134"/>
      <c r="AH9" s="137"/>
      <c r="AI9" s="139"/>
      <c r="AJ9" s="137"/>
      <c r="AK9" s="144" t="s">
        <v>122</v>
      </c>
      <c r="AL9" s="137" t="str">
        <f>IF(AJ5="○",IF(10000000&lt;AM1,"○",""),"")</f>
        <v/>
      </c>
      <c r="AM9" s="147" t="str">
        <f>IF(AL9="○",MAX(0,AM1-1955000),"")</f>
        <v/>
      </c>
      <c r="AO9" s="134"/>
      <c r="AP9" s="137"/>
      <c r="AQ9" s="139"/>
      <c r="AR9" s="137"/>
      <c r="AS9" s="144" t="s">
        <v>122</v>
      </c>
      <c r="AT9" s="137" t="str">
        <f>IF(AR5="○",IF(10000000&lt;AU1,"○",""),"")</f>
        <v/>
      </c>
      <c r="AU9" s="147" t="str">
        <f>IF(AT9="○",MAX(0,AU1-1955000),"")</f>
        <v/>
      </c>
      <c r="AW9" s="134"/>
      <c r="AX9" s="137"/>
      <c r="AY9" s="139"/>
      <c r="AZ9" s="137"/>
      <c r="BA9" s="144" t="s">
        <v>122</v>
      </c>
      <c r="BB9" s="137" t="str">
        <f>IF(AZ5="○",IF(10000000&lt;BC1,"○",""),"")</f>
        <v/>
      </c>
      <c r="BC9" s="147" t="str">
        <f>IF(BB9="○",MAX(0,BC1-1955000),"")</f>
        <v/>
      </c>
      <c r="BE9" s="134"/>
      <c r="BF9" s="137"/>
      <c r="BG9" s="139"/>
      <c r="BH9" s="137"/>
      <c r="BI9" s="144" t="s">
        <v>122</v>
      </c>
      <c r="BJ9" s="137" t="str">
        <f>IF(BH5="○",IF(10000000&lt;BK1,"○",""),"")</f>
        <v/>
      </c>
      <c r="BK9" s="147" t="str">
        <f>IF(BJ9="○",MAX(0,BK1-1955000),"")</f>
        <v/>
      </c>
    </row>
    <row r="10" spans="1:63" ht="18.75" customHeight="1">
      <c r="A10" s="134"/>
      <c r="B10" s="137"/>
      <c r="C10" s="139" t="s">
        <v>123</v>
      </c>
      <c r="D10" s="137" t="str">
        <f>IF(B5="○",IF(AND(10000000&lt;G2,G2&lt;=20000000),"○",""),"")</f>
        <v/>
      </c>
      <c r="E10" s="144" t="s">
        <v>26</v>
      </c>
      <c r="F10" s="137" t="str">
        <f>IF(D10="○",IF(G1&lt;=1300000,"○",""),"")</f>
        <v/>
      </c>
      <c r="G10" s="147" t="str">
        <f>IF(F10="○",MAX(0,G1-500000),"")</f>
        <v/>
      </c>
      <c r="I10" s="134"/>
      <c r="J10" s="137"/>
      <c r="K10" s="139" t="s">
        <v>123</v>
      </c>
      <c r="L10" s="137" t="str">
        <f>IF(J5="○",IF(AND(10000000&lt;O2,O2&lt;=20000000),"○",""),"")</f>
        <v/>
      </c>
      <c r="M10" s="144" t="s">
        <v>26</v>
      </c>
      <c r="N10" s="137" t="str">
        <f>IF(L10="○",IF(O1&lt;=1300000,"○",""),"")</f>
        <v/>
      </c>
      <c r="O10" s="147" t="str">
        <f>IF(N10="○",MAX(0,O1-500000),"")</f>
        <v/>
      </c>
      <c r="Q10" s="134"/>
      <c r="R10" s="137"/>
      <c r="S10" s="139" t="s">
        <v>123</v>
      </c>
      <c r="T10" s="137" t="str">
        <f>IF(R5="○",IF(AND(10000000&lt;W2,W2&lt;=20000000),"○",""),"")</f>
        <v/>
      </c>
      <c r="U10" s="144" t="s">
        <v>26</v>
      </c>
      <c r="V10" s="137" t="str">
        <f>IF(T10="○",IF(W1&lt;=1300000,"○",""),"")</f>
        <v/>
      </c>
      <c r="W10" s="147" t="str">
        <f>IF(V10="○",MAX(0,W1-500000),"")</f>
        <v/>
      </c>
      <c r="Y10" s="134"/>
      <c r="Z10" s="137"/>
      <c r="AA10" s="139" t="s">
        <v>123</v>
      </c>
      <c r="AB10" s="137" t="str">
        <f>IF(Z5="○",IF(AND(10000000&lt;AE2,AE2&lt;=20000000),"○",""),"")</f>
        <v/>
      </c>
      <c r="AC10" s="144" t="s">
        <v>26</v>
      </c>
      <c r="AD10" s="137" t="str">
        <f>IF(AB10="○",IF(AE1&lt;=1300000,"○",""),"")</f>
        <v/>
      </c>
      <c r="AE10" s="147" t="str">
        <f>IF(AD10="○",MAX(0,AE1-500000),"")</f>
        <v/>
      </c>
      <c r="AG10" s="134"/>
      <c r="AH10" s="137"/>
      <c r="AI10" s="139" t="s">
        <v>123</v>
      </c>
      <c r="AJ10" s="137" t="str">
        <f>IF(AH5="○",IF(AND(10000000&lt;AM2,AM2&lt;=20000000),"○",""),"")</f>
        <v/>
      </c>
      <c r="AK10" s="144" t="s">
        <v>26</v>
      </c>
      <c r="AL10" s="137" t="str">
        <f>IF(AJ10="○",IF(AM1&lt;=1300000,"○",""),"")</f>
        <v/>
      </c>
      <c r="AM10" s="147" t="str">
        <f>IF(AL10="○",MAX(0,AM1-500000),"")</f>
        <v/>
      </c>
      <c r="AO10" s="134"/>
      <c r="AP10" s="137"/>
      <c r="AQ10" s="139" t="s">
        <v>123</v>
      </c>
      <c r="AR10" s="137" t="str">
        <f>IF(AP5="○",IF(AND(10000000&lt;AU2,AU2&lt;=20000000),"○",""),"")</f>
        <v/>
      </c>
      <c r="AS10" s="144" t="s">
        <v>26</v>
      </c>
      <c r="AT10" s="137" t="str">
        <f>IF(AR10="○",IF(AU1&lt;=1300000,"○",""),"")</f>
        <v/>
      </c>
      <c r="AU10" s="147" t="str">
        <f>IF(AT10="○",MAX(0,AU1-500000),"")</f>
        <v/>
      </c>
      <c r="AW10" s="134"/>
      <c r="AX10" s="137"/>
      <c r="AY10" s="139" t="s">
        <v>123</v>
      </c>
      <c r="AZ10" s="137" t="str">
        <f>IF(AX5="○",IF(AND(10000000&lt;BC2,BC2&lt;=20000000),"○",""),"")</f>
        <v/>
      </c>
      <c r="BA10" s="144" t="s">
        <v>26</v>
      </c>
      <c r="BB10" s="137" t="str">
        <f>IF(AZ10="○",IF(BC1&lt;=1300000,"○",""),"")</f>
        <v/>
      </c>
      <c r="BC10" s="147" t="str">
        <f>IF(BB10="○",MAX(0,BC1-500000),"")</f>
        <v/>
      </c>
      <c r="BE10" s="134"/>
      <c r="BF10" s="137"/>
      <c r="BG10" s="139" t="s">
        <v>123</v>
      </c>
      <c r="BH10" s="137" t="str">
        <f>IF(BF5="○",IF(AND(10000000&lt;BK2,BK2&lt;=20000000),"○",""),"")</f>
        <v/>
      </c>
      <c r="BI10" s="144" t="s">
        <v>26</v>
      </c>
      <c r="BJ10" s="137" t="str">
        <f>IF(BH10="○",IF(BK1&lt;=1300000,"○",""),"")</f>
        <v/>
      </c>
      <c r="BK10" s="147" t="str">
        <f>IF(BJ10="○",MAX(0,BK1-500000),"")</f>
        <v/>
      </c>
    </row>
    <row r="11" spans="1:63" ht="18.75" customHeight="1">
      <c r="A11" s="134"/>
      <c r="B11" s="137"/>
      <c r="C11" s="139"/>
      <c r="D11" s="137"/>
      <c r="E11" s="144" t="s">
        <v>119</v>
      </c>
      <c r="F11" s="137" t="str">
        <f>IF(D10="○",IF(AND(1300000&lt;G1,G1&lt;=4100000),"○",""),"")</f>
        <v/>
      </c>
      <c r="G11" s="147" t="str">
        <f>IF(F11="○",MAX(0,G1*0.75-175000),"")</f>
        <v/>
      </c>
      <c r="I11" s="134"/>
      <c r="J11" s="137"/>
      <c r="K11" s="139"/>
      <c r="L11" s="137"/>
      <c r="M11" s="144" t="s">
        <v>119</v>
      </c>
      <c r="N11" s="137" t="str">
        <f>IF(L10="○",IF(AND(1300000&lt;O1,O1&lt;=4100000),"○",""),"")</f>
        <v/>
      </c>
      <c r="O11" s="147" t="str">
        <f>IF(N11="○",MAX(0,O1*0.75-175000),"")</f>
        <v/>
      </c>
      <c r="Q11" s="134"/>
      <c r="R11" s="137"/>
      <c r="S11" s="139"/>
      <c r="T11" s="137"/>
      <c r="U11" s="144" t="s">
        <v>119</v>
      </c>
      <c r="V11" s="137" t="str">
        <f>IF(T10="○",IF(AND(1300000&lt;W1,W1&lt;=4100000),"○",""),"")</f>
        <v/>
      </c>
      <c r="W11" s="147" t="str">
        <f>IF(V11="○",MAX(0,W1*0.75-175000),"")</f>
        <v/>
      </c>
      <c r="Y11" s="134"/>
      <c r="Z11" s="137"/>
      <c r="AA11" s="139"/>
      <c r="AB11" s="137"/>
      <c r="AC11" s="144" t="s">
        <v>119</v>
      </c>
      <c r="AD11" s="137" t="str">
        <f>IF(AB10="○",IF(AND(1300000&lt;AE1,AE1&lt;=4100000),"○",""),"")</f>
        <v/>
      </c>
      <c r="AE11" s="147" t="str">
        <f>IF(AD11="○",MAX(0,AE1*0.75-175000),"")</f>
        <v/>
      </c>
      <c r="AG11" s="134"/>
      <c r="AH11" s="137"/>
      <c r="AI11" s="139"/>
      <c r="AJ11" s="137"/>
      <c r="AK11" s="144" t="s">
        <v>119</v>
      </c>
      <c r="AL11" s="137" t="str">
        <f>IF(AJ10="○",IF(AND(1300000&lt;AM1,AM1&lt;=4100000),"○",""),"")</f>
        <v/>
      </c>
      <c r="AM11" s="147" t="str">
        <f>IF(AL11="○",MAX(0,AM1*0.75-175000),"")</f>
        <v/>
      </c>
      <c r="AO11" s="134"/>
      <c r="AP11" s="137"/>
      <c r="AQ11" s="139"/>
      <c r="AR11" s="137"/>
      <c r="AS11" s="144" t="s">
        <v>119</v>
      </c>
      <c r="AT11" s="137" t="str">
        <f>IF(AR10="○",IF(AND(1300000&lt;AU1,AU1&lt;=4100000),"○",""),"")</f>
        <v/>
      </c>
      <c r="AU11" s="147" t="str">
        <f>IF(AT11="○",MAX(0,AU1*0.75-175000),"")</f>
        <v/>
      </c>
      <c r="AW11" s="134"/>
      <c r="AX11" s="137"/>
      <c r="AY11" s="139"/>
      <c r="AZ11" s="137"/>
      <c r="BA11" s="144" t="s">
        <v>119</v>
      </c>
      <c r="BB11" s="137" t="str">
        <f>IF(AZ10="○",IF(AND(1300000&lt;BC1,BC1&lt;=4100000),"○",""),"")</f>
        <v/>
      </c>
      <c r="BC11" s="147" t="str">
        <f>IF(BB11="○",MAX(0,BC1*0.75-175000),"")</f>
        <v/>
      </c>
      <c r="BE11" s="134"/>
      <c r="BF11" s="137"/>
      <c r="BG11" s="139"/>
      <c r="BH11" s="137"/>
      <c r="BI11" s="144" t="s">
        <v>119</v>
      </c>
      <c r="BJ11" s="137" t="str">
        <f>IF(BH10="○",IF(AND(1300000&lt;BK1,BK1&lt;=4100000),"○",""),"")</f>
        <v/>
      </c>
      <c r="BK11" s="147" t="str">
        <f>IF(BJ11="○",MAX(0,BK1*0.75-175000),"")</f>
        <v/>
      </c>
    </row>
    <row r="12" spans="1:63" ht="18.75" customHeight="1">
      <c r="A12" s="134"/>
      <c r="B12" s="137"/>
      <c r="C12" s="139"/>
      <c r="D12" s="137"/>
      <c r="E12" s="144" t="s">
        <v>120</v>
      </c>
      <c r="F12" s="137" t="str">
        <f>IF(D10="○",IF(AND(4100000&lt;G1,G1&lt;=7700000),"○",""),"")</f>
        <v/>
      </c>
      <c r="G12" s="147" t="str">
        <f>IF(F12="○",MAX(0,G1*0.85-585000),"")</f>
        <v/>
      </c>
      <c r="I12" s="134"/>
      <c r="J12" s="137"/>
      <c r="K12" s="139"/>
      <c r="L12" s="137"/>
      <c r="M12" s="144" t="s">
        <v>120</v>
      </c>
      <c r="N12" s="137" t="str">
        <f>IF(L10="○",IF(AND(4100000&lt;O1,O1&lt;=7700000),"○",""),"")</f>
        <v/>
      </c>
      <c r="O12" s="147" t="str">
        <f>IF(N12="○",MAX(0,O1*0.85-585000),"")</f>
        <v/>
      </c>
      <c r="Q12" s="134"/>
      <c r="R12" s="137"/>
      <c r="S12" s="139"/>
      <c r="T12" s="137"/>
      <c r="U12" s="144" t="s">
        <v>120</v>
      </c>
      <c r="V12" s="137" t="str">
        <f>IF(T10="○",IF(AND(4100000&lt;W1,W1&lt;=7700000),"○",""),"")</f>
        <v/>
      </c>
      <c r="W12" s="147" t="str">
        <f>IF(V12="○",MAX(0,W1*0.85-585000),"")</f>
        <v/>
      </c>
      <c r="Y12" s="134"/>
      <c r="Z12" s="137"/>
      <c r="AA12" s="139"/>
      <c r="AB12" s="137"/>
      <c r="AC12" s="144" t="s">
        <v>120</v>
      </c>
      <c r="AD12" s="137" t="str">
        <f>IF(AB10="○",IF(AND(4100000&lt;AE1,AE1&lt;=7700000),"○",""),"")</f>
        <v/>
      </c>
      <c r="AE12" s="147" t="str">
        <f>IF(AD12="○",MAX(0,AE1*0.85-585000),"")</f>
        <v/>
      </c>
      <c r="AG12" s="134"/>
      <c r="AH12" s="137"/>
      <c r="AI12" s="139"/>
      <c r="AJ12" s="137"/>
      <c r="AK12" s="144" t="s">
        <v>120</v>
      </c>
      <c r="AL12" s="137" t="str">
        <f>IF(AJ10="○",IF(AND(4100000&lt;AM1,AM1&lt;=7700000),"○",""),"")</f>
        <v/>
      </c>
      <c r="AM12" s="147" t="str">
        <f>IF(AL12="○",MAX(0,AM1*0.85-585000),"")</f>
        <v/>
      </c>
      <c r="AO12" s="134"/>
      <c r="AP12" s="137"/>
      <c r="AQ12" s="139"/>
      <c r="AR12" s="137"/>
      <c r="AS12" s="144" t="s">
        <v>120</v>
      </c>
      <c r="AT12" s="137" t="str">
        <f>IF(AR10="○",IF(AND(4100000&lt;AU1,AU1&lt;=7700000),"○",""),"")</f>
        <v/>
      </c>
      <c r="AU12" s="147" t="str">
        <f>IF(AT12="○",MAX(0,AU1*0.85-585000),"")</f>
        <v/>
      </c>
      <c r="AW12" s="134"/>
      <c r="AX12" s="137"/>
      <c r="AY12" s="139"/>
      <c r="AZ12" s="137"/>
      <c r="BA12" s="144" t="s">
        <v>120</v>
      </c>
      <c r="BB12" s="137" t="str">
        <f>IF(AZ10="○",IF(AND(4100000&lt;BC1,BC1&lt;=7700000),"○",""),"")</f>
        <v/>
      </c>
      <c r="BC12" s="147" t="str">
        <f>IF(BB12="○",MAX(0,BC1*0.85-585000),"")</f>
        <v/>
      </c>
      <c r="BE12" s="134"/>
      <c r="BF12" s="137"/>
      <c r="BG12" s="139"/>
      <c r="BH12" s="137"/>
      <c r="BI12" s="144" t="s">
        <v>120</v>
      </c>
      <c r="BJ12" s="137" t="str">
        <f>IF(BH10="○",IF(AND(4100000&lt;BK1,BK1&lt;=7700000),"○",""),"")</f>
        <v/>
      </c>
      <c r="BK12" s="147" t="str">
        <f>IF(BJ12="○",MAX(0,BK1*0.85-585000),"")</f>
        <v/>
      </c>
    </row>
    <row r="13" spans="1:63" ht="18.75" customHeight="1">
      <c r="A13" s="134"/>
      <c r="B13" s="137"/>
      <c r="C13" s="139"/>
      <c r="D13" s="137"/>
      <c r="E13" s="144" t="s">
        <v>121</v>
      </c>
      <c r="F13" s="137" t="str">
        <f>IF(D10="○",IF(AND(7700000&lt;G1,G1&lt;=10000000),"○",""),"")</f>
        <v/>
      </c>
      <c r="G13" s="147" t="str">
        <f>IF(F13="○",MAX(0,G1*0.95-1355000),"")</f>
        <v/>
      </c>
      <c r="I13" s="134"/>
      <c r="J13" s="137"/>
      <c r="K13" s="139"/>
      <c r="L13" s="137"/>
      <c r="M13" s="144" t="s">
        <v>121</v>
      </c>
      <c r="N13" s="137" t="str">
        <f>IF(L10="○",IF(AND(7700000&lt;O1,O1&lt;=10000000),"○",""),"")</f>
        <v/>
      </c>
      <c r="O13" s="147" t="str">
        <f>IF(N13="○",MAX(0,O1*0.95-1355000),"")</f>
        <v/>
      </c>
      <c r="Q13" s="134"/>
      <c r="R13" s="137"/>
      <c r="S13" s="139"/>
      <c r="T13" s="137"/>
      <c r="U13" s="144" t="s">
        <v>121</v>
      </c>
      <c r="V13" s="137" t="str">
        <f>IF(T10="○",IF(AND(7700000&lt;W1,W1&lt;=10000000),"○",""),"")</f>
        <v/>
      </c>
      <c r="W13" s="147" t="str">
        <f>IF(V13="○",MAX(0,W1*0.95-1355000),"")</f>
        <v/>
      </c>
      <c r="Y13" s="134"/>
      <c r="Z13" s="137"/>
      <c r="AA13" s="139"/>
      <c r="AB13" s="137"/>
      <c r="AC13" s="144" t="s">
        <v>121</v>
      </c>
      <c r="AD13" s="137" t="str">
        <f>IF(AB10="○",IF(AND(7700000&lt;AE1,AE1&lt;=10000000),"○",""),"")</f>
        <v/>
      </c>
      <c r="AE13" s="147" t="str">
        <f>IF(AD13="○",MAX(0,AE1*0.95-1355000),"")</f>
        <v/>
      </c>
      <c r="AG13" s="134"/>
      <c r="AH13" s="137"/>
      <c r="AI13" s="139"/>
      <c r="AJ13" s="137"/>
      <c r="AK13" s="144" t="s">
        <v>121</v>
      </c>
      <c r="AL13" s="137" t="str">
        <f>IF(AJ10="○",IF(AND(7700000&lt;AM1,AM1&lt;=10000000),"○",""),"")</f>
        <v/>
      </c>
      <c r="AM13" s="147" t="str">
        <f>IF(AL13="○",MAX(0,AM1*0.95-1355000),"")</f>
        <v/>
      </c>
      <c r="AO13" s="134"/>
      <c r="AP13" s="137"/>
      <c r="AQ13" s="139"/>
      <c r="AR13" s="137"/>
      <c r="AS13" s="144" t="s">
        <v>121</v>
      </c>
      <c r="AT13" s="137" t="str">
        <f>IF(AR10="○",IF(AND(7700000&lt;AU1,AU1&lt;=10000000),"○",""),"")</f>
        <v/>
      </c>
      <c r="AU13" s="147" t="str">
        <f>IF(AT13="○",MAX(0,AU1*0.95-1355000),"")</f>
        <v/>
      </c>
      <c r="AW13" s="134"/>
      <c r="AX13" s="137"/>
      <c r="AY13" s="139"/>
      <c r="AZ13" s="137"/>
      <c r="BA13" s="144" t="s">
        <v>121</v>
      </c>
      <c r="BB13" s="137" t="str">
        <f>IF(AZ10="○",IF(AND(7700000&lt;BC1,BC1&lt;=10000000),"○",""),"")</f>
        <v/>
      </c>
      <c r="BC13" s="147" t="str">
        <f>IF(BB13="○",MAX(0,BC1*0.95-1355000),"")</f>
        <v/>
      </c>
      <c r="BE13" s="134"/>
      <c r="BF13" s="137"/>
      <c r="BG13" s="139"/>
      <c r="BH13" s="137"/>
      <c r="BI13" s="144" t="s">
        <v>121</v>
      </c>
      <c r="BJ13" s="137" t="str">
        <f>IF(BH10="○",IF(AND(7700000&lt;BK1,BK1&lt;=10000000),"○",""),"")</f>
        <v/>
      </c>
      <c r="BK13" s="147" t="str">
        <f>IF(BJ13="○",MAX(0,BK1*0.95-1355000),"")</f>
        <v/>
      </c>
    </row>
    <row r="14" spans="1:63" ht="18.75" customHeight="1">
      <c r="A14" s="134"/>
      <c r="B14" s="137"/>
      <c r="C14" s="139"/>
      <c r="D14" s="137"/>
      <c r="E14" s="144" t="s">
        <v>122</v>
      </c>
      <c r="F14" s="137" t="str">
        <f>IF(D10="○",IF(10000000&lt;G1,"○",""),"")</f>
        <v/>
      </c>
      <c r="G14" s="147" t="str">
        <f>IF(F14="○",MAX(0,G1-1855000),"")</f>
        <v/>
      </c>
      <c r="I14" s="134"/>
      <c r="J14" s="137"/>
      <c r="K14" s="139"/>
      <c r="L14" s="137"/>
      <c r="M14" s="144" t="s">
        <v>122</v>
      </c>
      <c r="N14" s="137" t="str">
        <f>IF(L10="○",IF(10000000&lt;O1,"○",""),"")</f>
        <v/>
      </c>
      <c r="O14" s="147" t="str">
        <f>IF(N14="○",MAX(0,O1-1855000),"")</f>
        <v/>
      </c>
      <c r="Q14" s="134"/>
      <c r="R14" s="137"/>
      <c r="S14" s="139"/>
      <c r="T14" s="137"/>
      <c r="U14" s="144" t="s">
        <v>122</v>
      </c>
      <c r="V14" s="137" t="str">
        <f>IF(T10="○",IF(10000000&lt;W1,"○",""),"")</f>
        <v/>
      </c>
      <c r="W14" s="147" t="str">
        <f>IF(V14="○",MAX(0,W1-1855000),"")</f>
        <v/>
      </c>
      <c r="Y14" s="134"/>
      <c r="Z14" s="137"/>
      <c r="AA14" s="139"/>
      <c r="AB14" s="137"/>
      <c r="AC14" s="144" t="s">
        <v>122</v>
      </c>
      <c r="AD14" s="137" t="str">
        <f>IF(AB10="○",IF(10000000&lt;AE1,"○",""),"")</f>
        <v/>
      </c>
      <c r="AE14" s="147" t="str">
        <f>IF(AD14="○",MAX(0,AE1-1855000),"")</f>
        <v/>
      </c>
      <c r="AG14" s="134"/>
      <c r="AH14" s="137"/>
      <c r="AI14" s="139"/>
      <c r="AJ14" s="137"/>
      <c r="AK14" s="144" t="s">
        <v>122</v>
      </c>
      <c r="AL14" s="137" t="str">
        <f>IF(AJ10="○",IF(10000000&lt;AM1,"○",""),"")</f>
        <v/>
      </c>
      <c r="AM14" s="147" t="str">
        <f>IF(AL14="○",MAX(0,AM1-1855000),"")</f>
        <v/>
      </c>
      <c r="AO14" s="134"/>
      <c r="AP14" s="137"/>
      <c r="AQ14" s="139"/>
      <c r="AR14" s="137"/>
      <c r="AS14" s="144" t="s">
        <v>122</v>
      </c>
      <c r="AT14" s="137" t="str">
        <f>IF(AR10="○",IF(10000000&lt;AU1,"○",""),"")</f>
        <v/>
      </c>
      <c r="AU14" s="147" t="str">
        <f>IF(AT14="○",MAX(0,AU1-1855000),"")</f>
        <v/>
      </c>
      <c r="AW14" s="134"/>
      <c r="AX14" s="137"/>
      <c r="AY14" s="139"/>
      <c r="AZ14" s="137"/>
      <c r="BA14" s="144" t="s">
        <v>122</v>
      </c>
      <c r="BB14" s="137" t="str">
        <f>IF(AZ10="○",IF(10000000&lt;BC1,"○",""),"")</f>
        <v/>
      </c>
      <c r="BC14" s="147" t="str">
        <f>IF(BB14="○",MAX(0,BC1-1855000),"")</f>
        <v/>
      </c>
      <c r="BE14" s="134"/>
      <c r="BF14" s="137"/>
      <c r="BG14" s="139"/>
      <c r="BH14" s="137"/>
      <c r="BI14" s="144" t="s">
        <v>122</v>
      </c>
      <c r="BJ14" s="137" t="str">
        <f>IF(BH10="○",IF(10000000&lt;BK1,"○",""),"")</f>
        <v/>
      </c>
      <c r="BK14" s="147" t="str">
        <f>IF(BJ14="○",MAX(0,BK1-1855000),"")</f>
        <v/>
      </c>
    </row>
    <row r="15" spans="1:63" ht="18.75" customHeight="1">
      <c r="A15" s="134"/>
      <c r="B15" s="137"/>
      <c r="C15" s="139" t="s">
        <v>124</v>
      </c>
      <c r="D15" s="137" t="str">
        <f>IF(B5="○",IF(20000000&lt;G2,"○",""),"")</f>
        <v/>
      </c>
      <c r="E15" s="144" t="s">
        <v>26</v>
      </c>
      <c r="F15" s="137" t="str">
        <f>IF(D15="○",IF(G1&lt;=1300000,"○",""),"")</f>
        <v/>
      </c>
      <c r="G15" s="147" t="str">
        <f>IF(F15="○",MAX(0,G1-400000),"")</f>
        <v/>
      </c>
      <c r="I15" s="134"/>
      <c r="J15" s="137"/>
      <c r="K15" s="139" t="s">
        <v>124</v>
      </c>
      <c r="L15" s="137" t="str">
        <f>IF(J5="○",IF(20000000&lt;O2,"○",""),"")</f>
        <v/>
      </c>
      <c r="M15" s="144" t="s">
        <v>26</v>
      </c>
      <c r="N15" s="137" t="str">
        <f>IF(L15="○",IF(O1&lt;=1300000,"○",""),"")</f>
        <v/>
      </c>
      <c r="O15" s="147" t="str">
        <f>IF(N15="○",MAX(0,O1-400000),"")</f>
        <v/>
      </c>
      <c r="Q15" s="134"/>
      <c r="R15" s="137"/>
      <c r="S15" s="139" t="s">
        <v>124</v>
      </c>
      <c r="T15" s="137" t="str">
        <f>IF(R5="○",IF(20000000&lt;W2,"○",""),"")</f>
        <v/>
      </c>
      <c r="U15" s="144" t="s">
        <v>26</v>
      </c>
      <c r="V15" s="137" t="str">
        <f>IF(T15="○",IF(W1&lt;=1300000,"○",""),"")</f>
        <v/>
      </c>
      <c r="W15" s="147" t="str">
        <f>IF(V15="○",MAX(0,W1-400000),"")</f>
        <v/>
      </c>
      <c r="Y15" s="134"/>
      <c r="Z15" s="137"/>
      <c r="AA15" s="139" t="s">
        <v>124</v>
      </c>
      <c r="AB15" s="137" t="str">
        <f>IF(Z5="○",IF(20000000&lt;AE2,"○",""),"")</f>
        <v/>
      </c>
      <c r="AC15" s="144" t="s">
        <v>26</v>
      </c>
      <c r="AD15" s="137" t="str">
        <f>IF(AB15="○",IF(AE1&lt;=1300000,"○",""),"")</f>
        <v/>
      </c>
      <c r="AE15" s="147" t="str">
        <f>IF(AD15="○",MAX(0,AE1-400000),"")</f>
        <v/>
      </c>
      <c r="AG15" s="134"/>
      <c r="AH15" s="137"/>
      <c r="AI15" s="139" t="s">
        <v>124</v>
      </c>
      <c r="AJ15" s="137" t="str">
        <f>IF(AH5="○",IF(20000000&lt;AM2,"○",""),"")</f>
        <v/>
      </c>
      <c r="AK15" s="144" t="s">
        <v>26</v>
      </c>
      <c r="AL15" s="137" t="str">
        <f>IF(AJ15="○",IF(AM1&lt;=1300000,"○",""),"")</f>
        <v/>
      </c>
      <c r="AM15" s="147" t="str">
        <f>IF(AL15="○",MAX(0,AM1-400000),"")</f>
        <v/>
      </c>
      <c r="AO15" s="134"/>
      <c r="AP15" s="137"/>
      <c r="AQ15" s="139" t="s">
        <v>124</v>
      </c>
      <c r="AR15" s="137" t="str">
        <f>IF(AP5="○",IF(20000000&lt;AU2,"○",""),"")</f>
        <v/>
      </c>
      <c r="AS15" s="144" t="s">
        <v>26</v>
      </c>
      <c r="AT15" s="137" t="str">
        <f>IF(AR15="○",IF(AU1&lt;=1300000,"○",""),"")</f>
        <v/>
      </c>
      <c r="AU15" s="147" t="str">
        <f>IF(AT15="○",MAX(0,AU1-400000),"")</f>
        <v/>
      </c>
      <c r="AW15" s="134"/>
      <c r="AX15" s="137"/>
      <c r="AY15" s="139" t="s">
        <v>124</v>
      </c>
      <c r="AZ15" s="137" t="str">
        <f>IF(AX5="○",IF(20000000&lt;BC2,"○",""),"")</f>
        <v/>
      </c>
      <c r="BA15" s="144" t="s">
        <v>26</v>
      </c>
      <c r="BB15" s="137" t="str">
        <f>IF(AZ15="○",IF(BC1&lt;=1300000,"○",""),"")</f>
        <v/>
      </c>
      <c r="BC15" s="147" t="str">
        <f>IF(BB15="○",MAX(0,BC1-400000),"")</f>
        <v/>
      </c>
      <c r="BE15" s="134"/>
      <c r="BF15" s="137"/>
      <c r="BG15" s="139" t="s">
        <v>124</v>
      </c>
      <c r="BH15" s="137" t="str">
        <f>IF(BF5="○",IF(20000000&lt;BK2,"○",""),"")</f>
        <v/>
      </c>
      <c r="BI15" s="144" t="s">
        <v>26</v>
      </c>
      <c r="BJ15" s="137" t="str">
        <f>IF(BH15="○",IF(BK1&lt;=1300000,"○",""),"")</f>
        <v/>
      </c>
      <c r="BK15" s="147" t="str">
        <f>IF(BJ15="○",MAX(0,BK1-400000),"")</f>
        <v/>
      </c>
    </row>
    <row r="16" spans="1:63" ht="18.75" customHeight="1">
      <c r="A16" s="134"/>
      <c r="B16" s="137"/>
      <c r="C16" s="139"/>
      <c r="D16" s="137"/>
      <c r="E16" s="144" t="s">
        <v>119</v>
      </c>
      <c r="F16" s="137" t="str">
        <f>IF(D15="○",IF(AND(1300000&lt;G1,G1&lt;=4100000),"○",""),"")</f>
        <v/>
      </c>
      <c r="G16" s="147" t="str">
        <f>IF(F16="○",MAX(0,G1*0.75-75000),"")</f>
        <v/>
      </c>
      <c r="I16" s="134"/>
      <c r="J16" s="137"/>
      <c r="K16" s="139"/>
      <c r="L16" s="137"/>
      <c r="M16" s="144" t="s">
        <v>119</v>
      </c>
      <c r="N16" s="137" t="str">
        <f>IF(L15="○",IF(AND(1300000&lt;O1,O1&lt;=4100000),"○",""),"")</f>
        <v/>
      </c>
      <c r="O16" s="147" t="str">
        <f>IF(N16="○",MAX(0,O1*0.75-75000),"")</f>
        <v/>
      </c>
      <c r="Q16" s="134"/>
      <c r="R16" s="137"/>
      <c r="S16" s="139"/>
      <c r="T16" s="137"/>
      <c r="U16" s="144" t="s">
        <v>119</v>
      </c>
      <c r="V16" s="137" t="str">
        <f>IF(T15="○",IF(AND(1300000&lt;W1,W1&lt;=4100000),"○",""),"")</f>
        <v/>
      </c>
      <c r="W16" s="147" t="str">
        <f>IF(V16="○",MAX(0,W1*0.75-75000),"")</f>
        <v/>
      </c>
      <c r="Y16" s="134"/>
      <c r="Z16" s="137"/>
      <c r="AA16" s="139"/>
      <c r="AB16" s="137"/>
      <c r="AC16" s="144" t="s">
        <v>119</v>
      </c>
      <c r="AD16" s="137" t="str">
        <f>IF(AB15="○",IF(AND(1300000&lt;AE1,AE1&lt;=4100000),"○",""),"")</f>
        <v/>
      </c>
      <c r="AE16" s="147" t="str">
        <f>IF(AD16="○",MAX(0,AE1*0.75-75000),"")</f>
        <v/>
      </c>
      <c r="AG16" s="134"/>
      <c r="AH16" s="137"/>
      <c r="AI16" s="139"/>
      <c r="AJ16" s="137"/>
      <c r="AK16" s="144" t="s">
        <v>119</v>
      </c>
      <c r="AL16" s="137" t="str">
        <f>IF(AJ15="○",IF(AND(1300000&lt;AM1,AM1&lt;=4100000),"○",""),"")</f>
        <v/>
      </c>
      <c r="AM16" s="147" t="str">
        <f>IF(AL16="○",MAX(0,AM1*0.75-75000),"")</f>
        <v/>
      </c>
      <c r="AO16" s="134"/>
      <c r="AP16" s="137"/>
      <c r="AQ16" s="139"/>
      <c r="AR16" s="137"/>
      <c r="AS16" s="144" t="s">
        <v>119</v>
      </c>
      <c r="AT16" s="137" t="str">
        <f>IF(AR15="○",IF(AND(1300000&lt;AU1,AU1&lt;=4100000),"○",""),"")</f>
        <v/>
      </c>
      <c r="AU16" s="147" t="str">
        <f>IF(AT16="○",MAX(0,AU1*0.75-75000),"")</f>
        <v/>
      </c>
      <c r="AW16" s="134"/>
      <c r="AX16" s="137"/>
      <c r="AY16" s="139"/>
      <c r="AZ16" s="137"/>
      <c r="BA16" s="144" t="s">
        <v>119</v>
      </c>
      <c r="BB16" s="137" t="str">
        <f>IF(AZ15="○",IF(AND(1300000&lt;BC1,BC1&lt;=4100000),"○",""),"")</f>
        <v/>
      </c>
      <c r="BC16" s="147" t="str">
        <f>IF(BB16="○",MAX(0,BC1*0.75-75000),"")</f>
        <v/>
      </c>
      <c r="BE16" s="134"/>
      <c r="BF16" s="137"/>
      <c r="BG16" s="139"/>
      <c r="BH16" s="137"/>
      <c r="BI16" s="144" t="s">
        <v>119</v>
      </c>
      <c r="BJ16" s="137" t="str">
        <f>IF(BH15="○",IF(AND(1300000&lt;BK1,BK1&lt;=4100000),"○",""),"")</f>
        <v/>
      </c>
      <c r="BK16" s="147" t="str">
        <f>IF(BJ16="○",MAX(0,BK1*0.75-75000),"")</f>
        <v/>
      </c>
    </row>
    <row r="17" spans="1:63" ht="18.75" customHeight="1">
      <c r="A17" s="134"/>
      <c r="B17" s="137"/>
      <c r="C17" s="139"/>
      <c r="D17" s="137"/>
      <c r="E17" s="144" t="s">
        <v>120</v>
      </c>
      <c r="F17" s="137" t="str">
        <f>IF(D15="○",IF(AND(4100000&lt;G1,G1&lt;=7700000),"○",""),"")</f>
        <v/>
      </c>
      <c r="G17" s="147" t="str">
        <f>IF(F17="○",MAX(0,G1*0.85-485000),"")</f>
        <v/>
      </c>
      <c r="I17" s="134"/>
      <c r="J17" s="137"/>
      <c r="K17" s="139"/>
      <c r="L17" s="137"/>
      <c r="M17" s="144" t="s">
        <v>120</v>
      </c>
      <c r="N17" s="137" t="str">
        <f>IF(L15="○",IF(AND(4100000&lt;O1,O1&lt;=7700000),"○",""),"")</f>
        <v/>
      </c>
      <c r="O17" s="147" t="str">
        <f>IF(N17="○",MAX(0,O1*0.85-485000),"")</f>
        <v/>
      </c>
      <c r="Q17" s="134"/>
      <c r="R17" s="137"/>
      <c r="S17" s="139"/>
      <c r="T17" s="137"/>
      <c r="U17" s="144" t="s">
        <v>120</v>
      </c>
      <c r="V17" s="137" t="str">
        <f>IF(T15="○",IF(AND(4100000&lt;W1,W1&lt;=7700000),"○",""),"")</f>
        <v/>
      </c>
      <c r="W17" s="147" t="str">
        <f>IF(V17="○",MAX(0,W1*0.85-485000),"")</f>
        <v/>
      </c>
      <c r="Y17" s="134"/>
      <c r="Z17" s="137"/>
      <c r="AA17" s="139"/>
      <c r="AB17" s="137"/>
      <c r="AC17" s="144" t="s">
        <v>120</v>
      </c>
      <c r="AD17" s="137" t="str">
        <f>IF(AB15="○",IF(AND(4100000&lt;AE1,AE1&lt;=7700000),"○",""),"")</f>
        <v/>
      </c>
      <c r="AE17" s="147" t="str">
        <f>IF(AD17="○",MAX(0,AE1*0.85-485000),"")</f>
        <v/>
      </c>
      <c r="AG17" s="134"/>
      <c r="AH17" s="137"/>
      <c r="AI17" s="139"/>
      <c r="AJ17" s="137"/>
      <c r="AK17" s="144" t="s">
        <v>120</v>
      </c>
      <c r="AL17" s="137" t="str">
        <f>IF(AJ15="○",IF(AND(4100000&lt;AM1,AM1&lt;=7700000),"○",""),"")</f>
        <v/>
      </c>
      <c r="AM17" s="147" t="str">
        <f>IF(AL17="○",MAX(0,AM1*0.85-485000),"")</f>
        <v/>
      </c>
      <c r="AO17" s="134"/>
      <c r="AP17" s="137"/>
      <c r="AQ17" s="139"/>
      <c r="AR17" s="137"/>
      <c r="AS17" s="144" t="s">
        <v>120</v>
      </c>
      <c r="AT17" s="137" t="str">
        <f>IF(AR15="○",IF(AND(4100000&lt;AU1,AU1&lt;=7700000),"○",""),"")</f>
        <v/>
      </c>
      <c r="AU17" s="147" t="str">
        <f>IF(AT17="○",MAX(0,AU1*0.85-485000),"")</f>
        <v/>
      </c>
      <c r="AW17" s="134"/>
      <c r="AX17" s="137"/>
      <c r="AY17" s="139"/>
      <c r="AZ17" s="137"/>
      <c r="BA17" s="144" t="s">
        <v>120</v>
      </c>
      <c r="BB17" s="137" t="str">
        <f>IF(AZ15="○",IF(AND(4100000&lt;BC1,BC1&lt;=7700000),"○",""),"")</f>
        <v/>
      </c>
      <c r="BC17" s="147" t="str">
        <f>IF(BB17="○",MAX(0,BC1*0.85-485000),"")</f>
        <v/>
      </c>
      <c r="BE17" s="134"/>
      <c r="BF17" s="137"/>
      <c r="BG17" s="139"/>
      <c r="BH17" s="137"/>
      <c r="BI17" s="144" t="s">
        <v>120</v>
      </c>
      <c r="BJ17" s="137" t="str">
        <f>IF(BH15="○",IF(AND(4100000&lt;BK1,BK1&lt;=7700000),"○",""),"")</f>
        <v/>
      </c>
      <c r="BK17" s="147" t="str">
        <f>IF(BJ17="○",MAX(0,BK1*0.85-485000),"")</f>
        <v/>
      </c>
    </row>
    <row r="18" spans="1:63" ht="18.75" customHeight="1">
      <c r="A18" s="134"/>
      <c r="B18" s="137"/>
      <c r="C18" s="139"/>
      <c r="D18" s="137"/>
      <c r="E18" s="144" t="s">
        <v>121</v>
      </c>
      <c r="F18" s="137" t="str">
        <f>IF(D15="○",IF(AND(7700000&lt;G1,G1&lt;=10000000),"○",""),"")</f>
        <v/>
      </c>
      <c r="G18" s="147" t="str">
        <f>IF(F18="○",MAX(0,G1*0.95-1255000),"")</f>
        <v/>
      </c>
      <c r="I18" s="134"/>
      <c r="J18" s="137"/>
      <c r="K18" s="139"/>
      <c r="L18" s="137"/>
      <c r="M18" s="144" t="s">
        <v>121</v>
      </c>
      <c r="N18" s="137" t="str">
        <f>IF(L15="○",IF(AND(7700000&lt;O1,O1&lt;=10000000),"○",""),"")</f>
        <v/>
      </c>
      <c r="O18" s="147" t="str">
        <f>IF(N18="○",MAX(0,O1*0.95-1255000),"")</f>
        <v/>
      </c>
      <c r="Q18" s="134"/>
      <c r="R18" s="137"/>
      <c r="S18" s="139"/>
      <c r="T18" s="137"/>
      <c r="U18" s="144" t="s">
        <v>121</v>
      </c>
      <c r="V18" s="137" t="str">
        <f>IF(T15="○",IF(AND(7700000&lt;W1,W1&lt;=10000000),"○",""),"")</f>
        <v/>
      </c>
      <c r="W18" s="147" t="str">
        <f>IF(V18="○",MAX(0,W1*0.95-1255000),"")</f>
        <v/>
      </c>
      <c r="Y18" s="134"/>
      <c r="Z18" s="137"/>
      <c r="AA18" s="139"/>
      <c r="AB18" s="137"/>
      <c r="AC18" s="144" t="s">
        <v>121</v>
      </c>
      <c r="AD18" s="137" t="str">
        <f>IF(AB15="○",IF(AND(7700000&lt;AE1,AE1&lt;=10000000),"○",""),"")</f>
        <v/>
      </c>
      <c r="AE18" s="147" t="str">
        <f>IF(AD18="○",MAX(0,AE1*0.95-1255000),"")</f>
        <v/>
      </c>
      <c r="AG18" s="134"/>
      <c r="AH18" s="137"/>
      <c r="AI18" s="139"/>
      <c r="AJ18" s="137"/>
      <c r="AK18" s="144" t="s">
        <v>121</v>
      </c>
      <c r="AL18" s="137" t="str">
        <f>IF(AJ15="○",IF(AND(7700000&lt;AM1,AM1&lt;=10000000),"○",""),"")</f>
        <v/>
      </c>
      <c r="AM18" s="147" t="str">
        <f>IF(AL18="○",MAX(0,AM1*0.95-1255000),"")</f>
        <v/>
      </c>
      <c r="AO18" s="134"/>
      <c r="AP18" s="137"/>
      <c r="AQ18" s="139"/>
      <c r="AR18" s="137"/>
      <c r="AS18" s="144" t="s">
        <v>121</v>
      </c>
      <c r="AT18" s="137" t="str">
        <f>IF(AR15="○",IF(AND(7700000&lt;AU1,AU1&lt;=10000000),"○",""),"")</f>
        <v/>
      </c>
      <c r="AU18" s="147" t="str">
        <f>IF(AT18="○",MAX(0,AU1*0.95-1255000),"")</f>
        <v/>
      </c>
      <c r="AW18" s="134"/>
      <c r="AX18" s="137"/>
      <c r="AY18" s="139"/>
      <c r="AZ18" s="137"/>
      <c r="BA18" s="144" t="s">
        <v>121</v>
      </c>
      <c r="BB18" s="137" t="str">
        <f>IF(AZ15="○",IF(AND(7700000&lt;BC1,BC1&lt;=10000000),"○",""),"")</f>
        <v/>
      </c>
      <c r="BC18" s="147" t="str">
        <f>IF(BB18="○",MAX(0,BC1*0.95-1255000),"")</f>
        <v/>
      </c>
      <c r="BE18" s="134"/>
      <c r="BF18" s="137"/>
      <c r="BG18" s="139"/>
      <c r="BH18" s="137"/>
      <c r="BI18" s="144" t="s">
        <v>121</v>
      </c>
      <c r="BJ18" s="137" t="str">
        <f>IF(BH15="○",IF(AND(7700000&lt;BK1,BK1&lt;=10000000),"○",""),"")</f>
        <v/>
      </c>
      <c r="BK18" s="147" t="str">
        <f>IF(BJ18="○",MAX(0,BK1*0.95-1255000),"")</f>
        <v/>
      </c>
    </row>
    <row r="19" spans="1:63" ht="18.75" customHeight="1">
      <c r="A19" s="134"/>
      <c r="B19" s="137"/>
      <c r="C19" s="139"/>
      <c r="D19" s="137"/>
      <c r="E19" s="144" t="s">
        <v>122</v>
      </c>
      <c r="F19" s="137" t="str">
        <f>IF(D15="○",IF(10000000&lt;G1,"○",""),"")</f>
        <v/>
      </c>
      <c r="G19" s="147" t="str">
        <f>IF(F19="○",MAX(0,G1-1755000),"")</f>
        <v/>
      </c>
      <c r="I19" s="134"/>
      <c r="J19" s="137"/>
      <c r="K19" s="139"/>
      <c r="L19" s="137"/>
      <c r="M19" s="144" t="s">
        <v>122</v>
      </c>
      <c r="N19" s="137" t="str">
        <f>IF(L15="○",IF(10000000&lt;O1,"○",""),"")</f>
        <v/>
      </c>
      <c r="O19" s="147" t="str">
        <f>IF(N19="○",MAX(0,O1-1755000),"")</f>
        <v/>
      </c>
      <c r="Q19" s="134"/>
      <c r="R19" s="137"/>
      <c r="S19" s="139"/>
      <c r="T19" s="137"/>
      <c r="U19" s="144" t="s">
        <v>122</v>
      </c>
      <c r="V19" s="137" t="str">
        <f>IF(T15="○",IF(10000000&lt;W1,"○",""),"")</f>
        <v/>
      </c>
      <c r="W19" s="147" t="str">
        <f>IF(V19="○",MAX(0,W1-1755000),"")</f>
        <v/>
      </c>
      <c r="Y19" s="134"/>
      <c r="Z19" s="137"/>
      <c r="AA19" s="139"/>
      <c r="AB19" s="137"/>
      <c r="AC19" s="144" t="s">
        <v>122</v>
      </c>
      <c r="AD19" s="137" t="str">
        <f>IF(AB15="○",IF(10000000&lt;AE1,"○",""),"")</f>
        <v/>
      </c>
      <c r="AE19" s="147" t="str">
        <f>IF(AD19="○",MAX(0,AE1-1755000),"")</f>
        <v/>
      </c>
      <c r="AG19" s="134"/>
      <c r="AH19" s="137"/>
      <c r="AI19" s="139"/>
      <c r="AJ19" s="137"/>
      <c r="AK19" s="144" t="s">
        <v>122</v>
      </c>
      <c r="AL19" s="137" t="str">
        <f>IF(AJ15="○",IF(10000000&lt;AM1,"○",""),"")</f>
        <v/>
      </c>
      <c r="AM19" s="147" t="str">
        <f>IF(AL19="○",MAX(0,AM1-1755000),"")</f>
        <v/>
      </c>
      <c r="AO19" s="134"/>
      <c r="AP19" s="137"/>
      <c r="AQ19" s="139"/>
      <c r="AR19" s="137"/>
      <c r="AS19" s="144" t="s">
        <v>122</v>
      </c>
      <c r="AT19" s="137" t="str">
        <f>IF(AR15="○",IF(10000000&lt;AU1,"○",""),"")</f>
        <v/>
      </c>
      <c r="AU19" s="147" t="str">
        <f>IF(AT19="○",MAX(0,AU1-1755000),"")</f>
        <v/>
      </c>
      <c r="AW19" s="134"/>
      <c r="AX19" s="137"/>
      <c r="AY19" s="139"/>
      <c r="AZ19" s="137"/>
      <c r="BA19" s="144" t="s">
        <v>122</v>
      </c>
      <c r="BB19" s="137" t="str">
        <f>IF(AZ15="○",IF(10000000&lt;BC1,"○",""),"")</f>
        <v/>
      </c>
      <c r="BC19" s="147" t="str">
        <f>IF(BB19="○",MAX(0,BC1-1755000),"")</f>
        <v/>
      </c>
      <c r="BE19" s="134"/>
      <c r="BF19" s="137"/>
      <c r="BG19" s="139"/>
      <c r="BH19" s="137"/>
      <c r="BI19" s="144" t="s">
        <v>122</v>
      </c>
      <c r="BJ19" s="137" t="str">
        <f>IF(BH15="○",IF(10000000&lt;BK1,"○",""),"")</f>
        <v/>
      </c>
      <c r="BK19" s="147" t="str">
        <f>IF(BJ19="○",MAX(0,BK1-1755000),"")</f>
        <v/>
      </c>
    </row>
    <row r="20" spans="1:63" ht="18.75" customHeight="1">
      <c r="A20" s="134" t="s">
        <v>125</v>
      </c>
      <c r="B20" s="137" t="str">
        <f>IF(B1="","",IF(65&lt;=B1,"○",""))</f>
        <v/>
      </c>
      <c r="C20" s="139" t="s">
        <v>61</v>
      </c>
      <c r="D20" s="137" t="str">
        <f>IF(B20="○",IF(G2&lt;=10000000,"○",""),"")</f>
        <v/>
      </c>
      <c r="E20" s="144" t="s">
        <v>82</v>
      </c>
      <c r="F20" s="137" t="str">
        <f>IF(D20="○",IF(G1&lt;=3300000,"○",""),"")</f>
        <v/>
      </c>
      <c r="G20" s="147" t="str">
        <f>IF(F20="○",MAX(0,G1-1100000),"")</f>
        <v/>
      </c>
      <c r="I20" s="134" t="s">
        <v>125</v>
      </c>
      <c r="J20" s="137" t="str">
        <f>IF(J1="","",IF(65&lt;=J1,"○",""))</f>
        <v/>
      </c>
      <c r="K20" s="139" t="s">
        <v>61</v>
      </c>
      <c r="L20" s="137" t="str">
        <f>IF(J20="○",IF(O2&lt;=10000000,"○",""),"")</f>
        <v/>
      </c>
      <c r="M20" s="144" t="s">
        <v>82</v>
      </c>
      <c r="N20" s="137" t="str">
        <f>IF(L20="○",IF(O1&lt;=3300000,"○",""),"")</f>
        <v/>
      </c>
      <c r="O20" s="147" t="str">
        <f>IF(N20="○",MAX(0,O1-1100000),"")</f>
        <v/>
      </c>
      <c r="Q20" s="134" t="s">
        <v>125</v>
      </c>
      <c r="R20" s="137" t="str">
        <f>IF(R1="","",IF(65&lt;=R1,"○",""))</f>
        <v/>
      </c>
      <c r="S20" s="139" t="s">
        <v>61</v>
      </c>
      <c r="T20" s="137" t="str">
        <f>IF(R20="○",IF(W2&lt;=10000000,"○",""),"")</f>
        <v/>
      </c>
      <c r="U20" s="144" t="s">
        <v>82</v>
      </c>
      <c r="V20" s="137" t="str">
        <f>IF(T20="○",IF(W1&lt;=3300000,"○",""),"")</f>
        <v/>
      </c>
      <c r="W20" s="147" t="str">
        <f>IF(V20="○",MAX(0,W1-1100000),"")</f>
        <v/>
      </c>
      <c r="Y20" s="134" t="s">
        <v>125</v>
      </c>
      <c r="Z20" s="137" t="str">
        <f>IF(Z1="","",IF(65&lt;=Z1,"○",""))</f>
        <v/>
      </c>
      <c r="AA20" s="139" t="s">
        <v>61</v>
      </c>
      <c r="AB20" s="137" t="str">
        <f>IF(Z20="○",IF(AE2&lt;=10000000,"○",""),"")</f>
        <v/>
      </c>
      <c r="AC20" s="144" t="s">
        <v>82</v>
      </c>
      <c r="AD20" s="137" t="str">
        <f>IF(AB20="○",IF(AE1&lt;=3300000,"○",""),"")</f>
        <v/>
      </c>
      <c r="AE20" s="147" t="str">
        <f>IF(AD20="○",MAX(0,AE1-1100000),"")</f>
        <v/>
      </c>
      <c r="AG20" s="134" t="s">
        <v>125</v>
      </c>
      <c r="AH20" s="137" t="str">
        <f>IF(AH1="","",IF(65&lt;=AH1,"○",""))</f>
        <v/>
      </c>
      <c r="AI20" s="139" t="s">
        <v>61</v>
      </c>
      <c r="AJ20" s="137" t="str">
        <f>IF(AH20="○",IF(AM2&lt;=10000000,"○",""),"")</f>
        <v/>
      </c>
      <c r="AK20" s="144" t="s">
        <v>82</v>
      </c>
      <c r="AL20" s="137" t="str">
        <f>IF(AJ20="○",IF(AM1&lt;=3300000,"○",""),"")</f>
        <v/>
      </c>
      <c r="AM20" s="147" t="str">
        <f>IF(AL20="○",MAX(0,AM1-1100000),"")</f>
        <v/>
      </c>
      <c r="AO20" s="134" t="s">
        <v>125</v>
      </c>
      <c r="AP20" s="137" t="str">
        <f>IF(AP1="","",IF(65&lt;=AP1,"○",""))</f>
        <v/>
      </c>
      <c r="AQ20" s="139" t="s">
        <v>61</v>
      </c>
      <c r="AR20" s="137" t="str">
        <f>IF(AP20="○",IF(AU2&lt;=10000000,"○",""),"")</f>
        <v/>
      </c>
      <c r="AS20" s="144" t="s">
        <v>82</v>
      </c>
      <c r="AT20" s="137" t="str">
        <f>IF(AR20="○",IF(AU1&lt;=3300000,"○",""),"")</f>
        <v/>
      </c>
      <c r="AU20" s="147" t="str">
        <f>IF(AT20="○",MAX(0,AU1-1100000),"")</f>
        <v/>
      </c>
      <c r="AW20" s="134" t="s">
        <v>125</v>
      </c>
      <c r="AX20" s="137" t="str">
        <f>IF(AX1="","",IF(65&lt;=AX1,"○",""))</f>
        <v/>
      </c>
      <c r="AY20" s="139" t="s">
        <v>61</v>
      </c>
      <c r="AZ20" s="137" t="str">
        <f>IF(AX20="○",IF(BC2&lt;=10000000,"○",""),"")</f>
        <v/>
      </c>
      <c r="BA20" s="144" t="s">
        <v>82</v>
      </c>
      <c r="BB20" s="137" t="str">
        <f>IF(AZ20="○",IF(BC1&lt;=3300000,"○",""),"")</f>
        <v/>
      </c>
      <c r="BC20" s="147" t="str">
        <f>IF(BB20="○",MAX(0,BC1-1100000),"")</f>
        <v/>
      </c>
      <c r="BE20" s="134" t="s">
        <v>125</v>
      </c>
      <c r="BF20" s="137" t="str">
        <f>IF(BF1="","",IF(65&lt;=BF1,"○",""))</f>
        <v/>
      </c>
      <c r="BG20" s="139" t="s">
        <v>61</v>
      </c>
      <c r="BH20" s="137" t="str">
        <f>IF(BF20="○",IF(BK2&lt;=10000000,"○",""),"")</f>
        <v/>
      </c>
      <c r="BI20" s="144" t="s">
        <v>82</v>
      </c>
      <c r="BJ20" s="137" t="str">
        <f>IF(BH20="○",IF(BK1&lt;=3300000,"○",""),"")</f>
        <v/>
      </c>
      <c r="BK20" s="147" t="str">
        <f>IF(BJ20="○",MAX(0,BK1-1100000),"")</f>
        <v/>
      </c>
    </row>
    <row r="21" spans="1:63" ht="18.75" customHeight="1">
      <c r="A21" s="134"/>
      <c r="B21" s="137"/>
      <c r="C21" s="139"/>
      <c r="D21" s="137"/>
      <c r="E21" s="144" t="s">
        <v>116</v>
      </c>
      <c r="F21" s="137" t="str">
        <f>IF(D20="○",IF(AND(3300000&lt;G1,G1&lt;=4100000),"○",""),"")</f>
        <v/>
      </c>
      <c r="G21" s="147" t="str">
        <f>IF(F21="○",MAX(G1*0.75-275000),"")</f>
        <v/>
      </c>
      <c r="I21" s="134"/>
      <c r="J21" s="137"/>
      <c r="K21" s="139"/>
      <c r="L21" s="137"/>
      <c r="M21" s="144" t="s">
        <v>116</v>
      </c>
      <c r="N21" s="137" t="str">
        <f>IF(L20="○",IF(AND(3300000&lt;O1,O1&lt;=4100000),"○",""),"")</f>
        <v/>
      </c>
      <c r="O21" s="147" t="str">
        <f>IF(N21="○",MAX(O1*0.75-275000),"")</f>
        <v/>
      </c>
      <c r="Q21" s="134"/>
      <c r="R21" s="137"/>
      <c r="S21" s="139"/>
      <c r="T21" s="137"/>
      <c r="U21" s="144" t="s">
        <v>116</v>
      </c>
      <c r="V21" s="137" t="str">
        <f>IF(T20="○",IF(AND(3300000&lt;W1,W1&lt;=4100000),"○",""),"")</f>
        <v/>
      </c>
      <c r="W21" s="147" t="str">
        <f>IF(V21="○",MAX(W1*0.75-275000),"")</f>
        <v/>
      </c>
      <c r="Y21" s="134"/>
      <c r="Z21" s="137"/>
      <c r="AA21" s="139"/>
      <c r="AB21" s="137"/>
      <c r="AC21" s="144" t="s">
        <v>116</v>
      </c>
      <c r="AD21" s="137" t="str">
        <f>IF(AB20="○",IF(AND(3300000&lt;AE1,AE1&lt;=4100000),"○",""),"")</f>
        <v/>
      </c>
      <c r="AE21" s="147" t="str">
        <f>IF(AD21="○",MAX(AE1*0.75-275000),"")</f>
        <v/>
      </c>
      <c r="AG21" s="134"/>
      <c r="AH21" s="137"/>
      <c r="AI21" s="139"/>
      <c r="AJ21" s="137"/>
      <c r="AK21" s="144" t="s">
        <v>116</v>
      </c>
      <c r="AL21" s="137" t="str">
        <f>IF(AJ20="○",IF(AND(3300000&lt;AM1,AM1&lt;=4100000),"○",""),"")</f>
        <v/>
      </c>
      <c r="AM21" s="147" t="str">
        <f>IF(AL21="○",MAX(AM1*0.75-275000),"")</f>
        <v/>
      </c>
      <c r="AO21" s="134"/>
      <c r="AP21" s="137"/>
      <c r="AQ21" s="139"/>
      <c r="AR21" s="137"/>
      <c r="AS21" s="144" t="s">
        <v>116</v>
      </c>
      <c r="AT21" s="137" t="str">
        <f>IF(AR20="○",IF(AND(3300000&lt;AU1,AU1&lt;=4100000),"○",""),"")</f>
        <v/>
      </c>
      <c r="AU21" s="147" t="str">
        <f>IF(AT21="○",MAX(AU1*0.75-275000),"")</f>
        <v/>
      </c>
      <c r="AW21" s="134"/>
      <c r="AX21" s="137"/>
      <c r="AY21" s="139"/>
      <c r="AZ21" s="137"/>
      <c r="BA21" s="144" t="s">
        <v>116</v>
      </c>
      <c r="BB21" s="137" t="str">
        <f>IF(AZ20="○",IF(AND(3300000&lt;BC1,BC1&lt;=4100000),"○",""),"")</f>
        <v/>
      </c>
      <c r="BC21" s="147" t="str">
        <f>IF(BB21="○",MAX(BC1*0.75-275000),"")</f>
        <v/>
      </c>
      <c r="BE21" s="134"/>
      <c r="BF21" s="137"/>
      <c r="BG21" s="139"/>
      <c r="BH21" s="137"/>
      <c r="BI21" s="144" t="s">
        <v>116</v>
      </c>
      <c r="BJ21" s="137" t="str">
        <f>IF(BH20="○",IF(AND(3300000&lt;BK1,BK1&lt;=4100000),"○",""),"")</f>
        <v/>
      </c>
      <c r="BK21" s="147" t="str">
        <f>IF(BJ21="○",MAX(BK1*0.75-275000),"")</f>
        <v/>
      </c>
    </row>
    <row r="22" spans="1:63" ht="18.75" customHeight="1">
      <c r="A22" s="134"/>
      <c r="B22" s="137"/>
      <c r="C22" s="139"/>
      <c r="D22" s="137"/>
      <c r="E22" s="144" t="s">
        <v>120</v>
      </c>
      <c r="F22" s="137" t="str">
        <f>IF(D20="○",IF(AND(4100000&lt;G1,G1&lt;=7700000),"○",""),"")</f>
        <v/>
      </c>
      <c r="G22" s="147" t="str">
        <f>IF(F22="○",MAX(G1*0.85-685000),"")</f>
        <v/>
      </c>
      <c r="I22" s="134"/>
      <c r="J22" s="137"/>
      <c r="K22" s="139"/>
      <c r="L22" s="137"/>
      <c r="M22" s="144" t="s">
        <v>120</v>
      </c>
      <c r="N22" s="137" t="str">
        <f>IF(L20="○",IF(AND(4100000&lt;O1,O1&lt;=7700000),"○",""),"")</f>
        <v/>
      </c>
      <c r="O22" s="147" t="str">
        <f>IF(N22="○",MAX(O1*0.85-685000),"")</f>
        <v/>
      </c>
      <c r="Q22" s="134"/>
      <c r="R22" s="137"/>
      <c r="S22" s="139"/>
      <c r="T22" s="137"/>
      <c r="U22" s="144" t="s">
        <v>120</v>
      </c>
      <c r="V22" s="137" t="str">
        <f>IF(T20="○",IF(AND(4100000&lt;W1,W1&lt;=7700000),"○",""),"")</f>
        <v/>
      </c>
      <c r="W22" s="147" t="str">
        <f>IF(V22="○",MAX(W1*0.85-685000),"")</f>
        <v/>
      </c>
      <c r="Y22" s="134"/>
      <c r="Z22" s="137"/>
      <c r="AA22" s="139"/>
      <c r="AB22" s="137"/>
      <c r="AC22" s="144" t="s">
        <v>120</v>
      </c>
      <c r="AD22" s="137" t="str">
        <f>IF(AB20="○",IF(AND(4100000&lt;AE1,AE1&lt;=7700000),"○",""),"")</f>
        <v/>
      </c>
      <c r="AE22" s="147" t="str">
        <f>IF(AD22="○",MAX(AE1*0.85-685000),"")</f>
        <v/>
      </c>
      <c r="AG22" s="134"/>
      <c r="AH22" s="137"/>
      <c r="AI22" s="139"/>
      <c r="AJ22" s="137"/>
      <c r="AK22" s="144" t="s">
        <v>120</v>
      </c>
      <c r="AL22" s="137" t="str">
        <f>IF(AJ20="○",IF(AND(4100000&lt;AM1,AM1&lt;=7700000),"○",""),"")</f>
        <v/>
      </c>
      <c r="AM22" s="147" t="str">
        <f>IF(AL22="○",MAX(AM1*0.85-685000),"")</f>
        <v/>
      </c>
      <c r="AO22" s="134"/>
      <c r="AP22" s="137"/>
      <c r="AQ22" s="139"/>
      <c r="AR22" s="137"/>
      <c r="AS22" s="144" t="s">
        <v>120</v>
      </c>
      <c r="AT22" s="137" t="str">
        <f>IF(AR20="○",IF(AND(4100000&lt;AU1,AU1&lt;=7700000),"○",""),"")</f>
        <v/>
      </c>
      <c r="AU22" s="147" t="str">
        <f>IF(AT22="○",MAX(AU1*0.85-685000),"")</f>
        <v/>
      </c>
      <c r="AW22" s="134"/>
      <c r="AX22" s="137"/>
      <c r="AY22" s="139"/>
      <c r="AZ22" s="137"/>
      <c r="BA22" s="144" t="s">
        <v>120</v>
      </c>
      <c r="BB22" s="137" t="str">
        <f>IF(AZ20="○",IF(AND(4100000&lt;BC1,BC1&lt;=7700000),"○",""),"")</f>
        <v/>
      </c>
      <c r="BC22" s="147" t="str">
        <f>IF(BB22="○",MAX(BC1*0.85-685000),"")</f>
        <v/>
      </c>
      <c r="BE22" s="134"/>
      <c r="BF22" s="137"/>
      <c r="BG22" s="139"/>
      <c r="BH22" s="137"/>
      <c r="BI22" s="144" t="s">
        <v>120</v>
      </c>
      <c r="BJ22" s="137" t="str">
        <f>IF(BH20="○",IF(AND(4100000&lt;BK1,BK1&lt;=7700000),"○",""),"")</f>
        <v/>
      </c>
      <c r="BK22" s="147" t="str">
        <f>IF(BJ22="○",MAX(BK1*0.85-685000),"")</f>
        <v/>
      </c>
    </row>
    <row r="23" spans="1:63" ht="18.75" customHeight="1">
      <c r="A23" s="134"/>
      <c r="B23" s="137"/>
      <c r="C23" s="139"/>
      <c r="D23" s="137"/>
      <c r="E23" s="144" t="s">
        <v>121</v>
      </c>
      <c r="F23" s="137" t="str">
        <f>IF(D20="○",IF(AND(7700000&lt;G1,G1&lt;=10000000),"○",""),"")</f>
        <v/>
      </c>
      <c r="G23" s="147" t="str">
        <f>IF(F23="○",MAX(0,G1*0.95-1455000),"")</f>
        <v/>
      </c>
      <c r="I23" s="134"/>
      <c r="J23" s="137"/>
      <c r="K23" s="139"/>
      <c r="L23" s="137"/>
      <c r="M23" s="144" t="s">
        <v>121</v>
      </c>
      <c r="N23" s="137" t="str">
        <f>IF(L20="○",IF(AND(7700000&lt;O1,O1&lt;=10000000),"○",""),"")</f>
        <v/>
      </c>
      <c r="O23" s="147" t="str">
        <f>IF(N23="○",MAX(0,O1*0.95-1455000),"")</f>
        <v/>
      </c>
      <c r="Q23" s="134"/>
      <c r="R23" s="137"/>
      <c r="S23" s="139"/>
      <c r="T23" s="137"/>
      <c r="U23" s="144" t="s">
        <v>121</v>
      </c>
      <c r="V23" s="137" t="str">
        <f>IF(T20="○",IF(AND(7700000&lt;W1,W1&lt;=10000000),"○",""),"")</f>
        <v/>
      </c>
      <c r="W23" s="147" t="str">
        <f>IF(V23="○",MAX(0,W1*0.95-1455000),"")</f>
        <v/>
      </c>
      <c r="Y23" s="134"/>
      <c r="Z23" s="137"/>
      <c r="AA23" s="139"/>
      <c r="AB23" s="137"/>
      <c r="AC23" s="144" t="s">
        <v>121</v>
      </c>
      <c r="AD23" s="137" t="str">
        <f>IF(AB20="○",IF(AND(7700000&lt;AE1,AE1&lt;=10000000),"○",""),"")</f>
        <v/>
      </c>
      <c r="AE23" s="147" t="str">
        <f>IF(AD23="○",MAX(0,AE1*0.95-1455000),"")</f>
        <v/>
      </c>
      <c r="AG23" s="134"/>
      <c r="AH23" s="137"/>
      <c r="AI23" s="139"/>
      <c r="AJ23" s="137"/>
      <c r="AK23" s="144" t="s">
        <v>121</v>
      </c>
      <c r="AL23" s="137" t="str">
        <f>IF(AJ20="○",IF(AND(7700000&lt;AM1,AM1&lt;=10000000),"○",""),"")</f>
        <v/>
      </c>
      <c r="AM23" s="147" t="str">
        <f>IF(AL23="○",MAX(0,AM1*0.95-1455000),"")</f>
        <v/>
      </c>
      <c r="AO23" s="134"/>
      <c r="AP23" s="137"/>
      <c r="AQ23" s="139"/>
      <c r="AR23" s="137"/>
      <c r="AS23" s="144" t="s">
        <v>121</v>
      </c>
      <c r="AT23" s="137" t="str">
        <f>IF(AR20="○",IF(AND(7700000&lt;AU1,AU1&lt;=10000000),"○",""),"")</f>
        <v/>
      </c>
      <c r="AU23" s="147" t="str">
        <f>IF(AT23="○",MAX(0,AU1*0.95-1455000),"")</f>
        <v/>
      </c>
      <c r="AW23" s="134"/>
      <c r="AX23" s="137"/>
      <c r="AY23" s="139"/>
      <c r="AZ23" s="137"/>
      <c r="BA23" s="144" t="s">
        <v>121</v>
      </c>
      <c r="BB23" s="137" t="str">
        <f>IF(AZ20="○",IF(AND(7700000&lt;BC1,BC1&lt;=10000000),"○",""),"")</f>
        <v/>
      </c>
      <c r="BC23" s="147" t="str">
        <f>IF(BB23="○",MAX(0,BC1*0.95-1455000),"")</f>
        <v/>
      </c>
      <c r="BE23" s="134"/>
      <c r="BF23" s="137"/>
      <c r="BG23" s="139"/>
      <c r="BH23" s="137"/>
      <c r="BI23" s="144" t="s">
        <v>121</v>
      </c>
      <c r="BJ23" s="137" t="str">
        <f>IF(BH20="○",IF(AND(7700000&lt;BK1,BK1&lt;=10000000),"○",""),"")</f>
        <v/>
      </c>
      <c r="BK23" s="147" t="str">
        <f>IF(BJ23="○",MAX(0,BK1*0.95-1455000),"")</f>
        <v/>
      </c>
    </row>
    <row r="24" spans="1:63" ht="18.75" customHeight="1">
      <c r="A24" s="134"/>
      <c r="B24" s="137"/>
      <c r="C24" s="139"/>
      <c r="D24" s="137"/>
      <c r="E24" s="144" t="s">
        <v>122</v>
      </c>
      <c r="F24" s="137" t="str">
        <f>IF(D20="○",IF(10000000&lt;G1,"○",""),"")</f>
        <v/>
      </c>
      <c r="G24" s="147" t="str">
        <f>IF(F24="○",MAX(0,G1-1955000),"")</f>
        <v/>
      </c>
      <c r="I24" s="134"/>
      <c r="J24" s="137"/>
      <c r="K24" s="139"/>
      <c r="L24" s="137"/>
      <c r="M24" s="144" t="s">
        <v>122</v>
      </c>
      <c r="N24" s="137" t="str">
        <f>IF(L20="○",IF(10000000&lt;O1,"○",""),"")</f>
        <v/>
      </c>
      <c r="O24" s="147" t="str">
        <f>IF(N24="○",MAX(0,O1-1955000),"")</f>
        <v/>
      </c>
      <c r="Q24" s="134"/>
      <c r="R24" s="137"/>
      <c r="S24" s="139"/>
      <c r="T24" s="137"/>
      <c r="U24" s="144" t="s">
        <v>122</v>
      </c>
      <c r="V24" s="137" t="str">
        <f>IF(T20="○",IF(10000000&lt;W1,"○",""),"")</f>
        <v/>
      </c>
      <c r="W24" s="147" t="str">
        <f>IF(V24="○",MAX(0,W1-1955000),"")</f>
        <v/>
      </c>
      <c r="Y24" s="134"/>
      <c r="Z24" s="137"/>
      <c r="AA24" s="139"/>
      <c r="AB24" s="137"/>
      <c r="AC24" s="144" t="s">
        <v>122</v>
      </c>
      <c r="AD24" s="137" t="str">
        <f>IF(AB20="○",IF(10000000&lt;AE1,"○",""),"")</f>
        <v/>
      </c>
      <c r="AE24" s="147" t="str">
        <f>IF(AD24="○",MAX(0,AE1-1955000),"")</f>
        <v/>
      </c>
      <c r="AG24" s="134"/>
      <c r="AH24" s="137"/>
      <c r="AI24" s="139"/>
      <c r="AJ24" s="137"/>
      <c r="AK24" s="144" t="s">
        <v>122</v>
      </c>
      <c r="AL24" s="137" t="str">
        <f>IF(AJ20="○",IF(10000000&lt;AM1,"○",""),"")</f>
        <v/>
      </c>
      <c r="AM24" s="147" t="str">
        <f>IF(AL24="○",MAX(0,AM1-1955000),"")</f>
        <v/>
      </c>
      <c r="AO24" s="134"/>
      <c r="AP24" s="137"/>
      <c r="AQ24" s="139"/>
      <c r="AR24" s="137"/>
      <c r="AS24" s="144" t="s">
        <v>122</v>
      </c>
      <c r="AT24" s="137" t="str">
        <f>IF(AR20="○",IF(10000000&lt;AU1,"○",""),"")</f>
        <v/>
      </c>
      <c r="AU24" s="147" t="str">
        <f>IF(AT24="○",MAX(0,AU1-1955000),"")</f>
        <v/>
      </c>
      <c r="AW24" s="134"/>
      <c r="AX24" s="137"/>
      <c r="AY24" s="139"/>
      <c r="AZ24" s="137"/>
      <c r="BA24" s="144" t="s">
        <v>122</v>
      </c>
      <c r="BB24" s="137" t="str">
        <f>IF(AZ20="○",IF(10000000&lt;BC1,"○",""),"")</f>
        <v/>
      </c>
      <c r="BC24" s="147" t="str">
        <f>IF(BB24="○",MAX(0,BC1-1955000),"")</f>
        <v/>
      </c>
      <c r="BE24" s="134"/>
      <c r="BF24" s="137"/>
      <c r="BG24" s="139"/>
      <c r="BH24" s="137"/>
      <c r="BI24" s="144" t="s">
        <v>122</v>
      </c>
      <c r="BJ24" s="137" t="str">
        <f>IF(BH20="○",IF(10000000&lt;BK1,"○",""),"")</f>
        <v/>
      </c>
      <c r="BK24" s="147" t="str">
        <f>IF(BJ24="○",MAX(0,BK1-1955000),"")</f>
        <v/>
      </c>
    </row>
    <row r="25" spans="1:63" ht="18.75" customHeight="1">
      <c r="A25" s="134"/>
      <c r="B25" s="137"/>
      <c r="C25" s="139" t="s">
        <v>123</v>
      </c>
      <c r="D25" s="137" t="str">
        <f>IF(B20="○",IF(AND(10000000&lt;G2,G2&lt;=20000000),"○",""),"")</f>
        <v/>
      </c>
      <c r="E25" s="144" t="s">
        <v>82</v>
      </c>
      <c r="F25" s="137" t="str">
        <f>IF(D25="○",IF(G1&lt;=3300000,"○",""),"")</f>
        <v/>
      </c>
      <c r="G25" s="147" t="str">
        <f>IF(F25="○",MAX(0,G1-1000000),"")</f>
        <v/>
      </c>
      <c r="I25" s="134"/>
      <c r="J25" s="137"/>
      <c r="K25" s="139" t="s">
        <v>123</v>
      </c>
      <c r="L25" s="137" t="str">
        <f>IF(J20="○",IF(AND(10000000&lt;O2,O2&lt;=20000000),"○",""),"")</f>
        <v/>
      </c>
      <c r="M25" s="144" t="s">
        <v>82</v>
      </c>
      <c r="N25" s="137" t="str">
        <f>IF(L25="○",IF(O1&lt;=3300000,"○",""),"")</f>
        <v/>
      </c>
      <c r="O25" s="147" t="str">
        <f>IF(N25="○",MAX(0,O1-1000000),"")</f>
        <v/>
      </c>
      <c r="Q25" s="134"/>
      <c r="R25" s="137"/>
      <c r="S25" s="139" t="s">
        <v>123</v>
      </c>
      <c r="T25" s="137" t="str">
        <f>IF(R20="○",IF(AND(10000000&lt;W2,W2&lt;=20000000),"○",""),"")</f>
        <v/>
      </c>
      <c r="U25" s="144" t="s">
        <v>82</v>
      </c>
      <c r="V25" s="137" t="str">
        <f>IF(T25="○",IF(W1&lt;=3300000,"○",""),"")</f>
        <v/>
      </c>
      <c r="W25" s="147" t="str">
        <f>IF(V25="○",MAX(0,W1-1000000),"")</f>
        <v/>
      </c>
      <c r="Y25" s="134"/>
      <c r="Z25" s="137"/>
      <c r="AA25" s="139" t="s">
        <v>123</v>
      </c>
      <c r="AB25" s="137" t="str">
        <f>IF(Z20="○",IF(AND(10000000&lt;AE2,AE2&lt;=20000000),"○",""),"")</f>
        <v/>
      </c>
      <c r="AC25" s="144" t="s">
        <v>82</v>
      </c>
      <c r="AD25" s="137" t="str">
        <f>IF(AB25="○",IF(AE1&lt;=3300000,"○",""),"")</f>
        <v/>
      </c>
      <c r="AE25" s="147" t="str">
        <f>IF(AD25="○",MAX(0,AE1-1000000),"")</f>
        <v/>
      </c>
      <c r="AG25" s="134"/>
      <c r="AH25" s="137"/>
      <c r="AI25" s="139" t="s">
        <v>123</v>
      </c>
      <c r="AJ25" s="137" t="str">
        <f>IF(AH20="○",IF(AND(10000000&lt;AM2,AM2&lt;=20000000),"○",""),"")</f>
        <v/>
      </c>
      <c r="AK25" s="144" t="s">
        <v>82</v>
      </c>
      <c r="AL25" s="137" t="str">
        <f>IF(AJ25="○",IF(AM1&lt;=3300000,"○",""),"")</f>
        <v/>
      </c>
      <c r="AM25" s="147" t="str">
        <f>IF(AL25="○",MAX(0,AM1-1000000),"")</f>
        <v/>
      </c>
      <c r="AO25" s="134"/>
      <c r="AP25" s="137"/>
      <c r="AQ25" s="139" t="s">
        <v>123</v>
      </c>
      <c r="AR25" s="137" t="str">
        <f>IF(AP20="○",IF(AND(10000000&lt;AU2,AU2&lt;=20000000),"○",""),"")</f>
        <v/>
      </c>
      <c r="AS25" s="144" t="s">
        <v>82</v>
      </c>
      <c r="AT25" s="137" t="str">
        <f>IF(AR25="○",IF(AU1&lt;=3300000,"○",""),"")</f>
        <v/>
      </c>
      <c r="AU25" s="147" t="str">
        <f>IF(AT25="○",MAX(0,AU1-1000000),"")</f>
        <v/>
      </c>
      <c r="AW25" s="134"/>
      <c r="AX25" s="137"/>
      <c r="AY25" s="139" t="s">
        <v>123</v>
      </c>
      <c r="AZ25" s="137" t="str">
        <f>IF(AX20="○",IF(AND(10000000&lt;BC2,BC2&lt;=20000000),"○",""),"")</f>
        <v/>
      </c>
      <c r="BA25" s="144" t="s">
        <v>82</v>
      </c>
      <c r="BB25" s="137" t="str">
        <f>IF(AZ25="○",IF(BC1&lt;=3300000,"○",""),"")</f>
        <v/>
      </c>
      <c r="BC25" s="147" t="str">
        <f>IF(BB25="○",MAX(0,BC1-1000000),"")</f>
        <v/>
      </c>
      <c r="BE25" s="134"/>
      <c r="BF25" s="137"/>
      <c r="BG25" s="139" t="s">
        <v>123</v>
      </c>
      <c r="BH25" s="137" t="str">
        <f>IF(BF20="○",IF(AND(10000000&lt;BK2,BK2&lt;=20000000),"○",""),"")</f>
        <v/>
      </c>
      <c r="BI25" s="144" t="s">
        <v>82</v>
      </c>
      <c r="BJ25" s="137" t="str">
        <f>IF(BH25="○",IF(BK1&lt;=3300000,"○",""),"")</f>
        <v/>
      </c>
      <c r="BK25" s="147" t="str">
        <f>IF(BJ25="○",MAX(0,BK1-1000000),"")</f>
        <v/>
      </c>
    </row>
    <row r="26" spans="1:63" ht="18.75" customHeight="1">
      <c r="A26" s="134"/>
      <c r="B26" s="137"/>
      <c r="C26" s="139"/>
      <c r="D26" s="137"/>
      <c r="E26" s="144" t="s">
        <v>116</v>
      </c>
      <c r="F26" s="137" t="str">
        <f>IF(D25="○",IF(AND(3300000&lt;G1,G1&lt;=4100000),"○",""),"")</f>
        <v/>
      </c>
      <c r="G26" s="147" t="str">
        <f>IF(F26="○",MAX(G1*0.75-175000),"")</f>
        <v/>
      </c>
      <c r="I26" s="134"/>
      <c r="J26" s="137"/>
      <c r="K26" s="139"/>
      <c r="L26" s="137"/>
      <c r="M26" s="144" t="s">
        <v>116</v>
      </c>
      <c r="N26" s="137" t="str">
        <f>IF(L25="○",IF(AND(3300000&lt;O1,O1&lt;=4100000),"○",""),"")</f>
        <v/>
      </c>
      <c r="O26" s="147" t="str">
        <f>IF(N26="○",MAX(O1*0.75-175000),"")</f>
        <v/>
      </c>
      <c r="Q26" s="134"/>
      <c r="R26" s="137"/>
      <c r="S26" s="139"/>
      <c r="T26" s="137"/>
      <c r="U26" s="144" t="s">
        <v>116</v>
      </c>
      <c r="V26" s="137" t="str">
        <f>IF(T25="○",IF(AND(3300000&lt;W1,W1&lt;=4100000),"○",""),"")</f>
        <v/>
      </c>
      <c r="W26" s="147" t="str">
        <f>IF(V26="○",MAX(W1*0.75-175000),"")</f>
        <v/>
      </c>
      <c r="Y26" s="134"/>
      <c r="Z26" s="137"/>
      <c r="AA26" s="139"/>
      <c r="AB26" s="137"/>
      <c r="AC26" s="144" t="s">
        <v>116</v>
      </c>
      <c r="AD26" s="137" t="str">
        <f>IF(AB25="○",IF(AND(3300000&lt;AE1,AE1&lt;=4100000),"○",""),"")</f>
        <v/>
      </c>
      <c r="AE26" s="147" t="str">
        <f>IF(AD26="○",MAX(AE1*0.75-175000),"")</f>
        <v/>
      </c>
      <c r="AG26" s="134"/>
      <c r="AH26" s="137"/>
      <c r="AI26" s="139"/>
      <c r="AJ26" s="137"/>
      <c r="AK26" s="144" t="s">
        <v>116</v>
      </c>
      <c r="AL26" s="137" t="str">
        <f>IF(AJ25="○",IF(AND(3300000&lt;AM1,AM1&lt;=4100000),"○",""),"")</f>
        <v/>
      </c>
      <c r="AM26" s="147" t="str">
        <f>IF(AL26="○",MAX(AM1*0.75-175000),"")</f>
        <v/>
      </c>
      <c r="AO26" s="134"/>
      <c r="AP26" s="137"/>
      <c r="AQ26" s="139"/>
      <c r="AR26" s="137"/>
      <c r="AS26" s="144" t="s">
        <v>116</v>
      </c>
      <c r="AT26" s="137" t="str">
        <f>IF(AR25="○",IF(AND(3300000&lt;AU1,AU1&lt;=4100000),"○",""),"")</f>
        <v/>
      </c>
      <c r="AU26" s="147" t="str">
        <f>IF(AT26="○",MAX(AU1*0.75-175000),"")</f>
        <v/>
      </c>
      <c r="AW26" s="134"/>
      <c r="AX26" s="137"/>
      <c r="AY26" s="139"/>
      <c r="AZ26" s="137"/>
      <c r="BA26" s="144" t="s">
        <v>116</v>
      </c>
      <c r="BB26" s="137" t="str">
        <f>IF(AZ25="○",IF(AND(3300000&lt;BC1,BC1&lt;=4100000),"○",""),"")</f>
        <v/>
      </c>
      <c r="BC26" s="147" t="str">
        <f>IF(BB26="○",MAX(BC1*0.75-175000),"")</f>
        <v/>
      </c>
      <c r="BE26" s="134"/>
      <c r="BF26" s="137"/>
      <c r="BG26" s="139"/>
      <c r="BH26" s="137"/>
      <c r="BI26" s="144" t="s">
        <v>116</v>
      </c>
      <c r="BJ26" s="137" t="str">
        <f>IF(BH25="○",IF(AND(3300000&lt;BK1,BK1&lt;=4100000),"○",""),"")</f>
        <v/>
      </c>
      <c r="BK26" s="147" t="str">
        <f>IF(BJ26="○",MAX(BK1*0.75-175000),"")</f>
        <v/>
      </c>
    </row>
    <row r="27" spans="1:63" ht="18.75" customHeight="1">
      <c r="A27" s="134"/>
      <c r="B27" s="137"/>
      <c r="C27" s="139"/>
      <c r="D27" s="137"/>
      <c r="E27" s="144" t="s">
        <v>120</v>
      </c>
      <c r="F27" s="137" t="str">
        <f>IF(D25="○",IF(AND(4100000&lt;G1,G1&lt;=7700000),"○",""),"")</f>
        <v/>
      </c>
      <c r="G27" s="147" t="str">
        <f>IF(F27="○",MAX(0,G1*0.85-585000),"")</f>
        <v/>
      </c>
      <c r="I27" s="134"/>
      <c r="J27" s="137"/>
      <c r="K27" s="139"/>
      <c r="L27" s="137"/>
      <c r="M27" s="144" t="s">
        <v>120</v>
      </c>
      <c r="N27" s="137" t="str">
        <f>IF(L25="○",IF(AND(4100000&lt;O1,O1&lt;=7700000),"○",""),"")</f>
        <v/>
      </c>
      <c r="O27" s="147" t="str">
        <f>IF(N27="○",MAX(0,O1*0.85-585000),"")</f>
        <v/>
      </c>
      <c r="Q27" s="134"/>
      <c r="R27" s="137"/>
      <c r="S27" s="139"/>
      <c r="T27" s="137"/>
      <c r="U27" s="144" t="s">
        <v>120</v>
      </c>
      <c r="V27" s="137" t="str">
        <f>IF(T25="○",IF(AND(4100000&lt;W1,W1&lt;=7700000),"○",""),"")</f>
        <v/>
      </c>
      <c r="W27" s="147" t="str">
        <f>IF(V27="○",MAX(0,W1*0.85-585000),"")</f>
        <v/>
      </c>
      <c r="Y27" s="134"/>
      <c r="Z27" s="137"/>
      <c r="AA27" s="139"/>
      <c r="AB27" s="137"/>
      <c r="AC27" s="144" t="s">
        <v>120</v>
      </c>
      <c r="AD27" s="137" t="str">
        <f>IF(AB25="○",IF(AND(4100000&lt;AE1,AE1&lt;=7700000),"○",""),"")</f>
        <v/>
      </c>
      <c r="AE27" s="147" t="str">
        <f>IF(AD27="○",MAX(0,AE1*0.85-585000),"")</f>
        <v/>
      </c>
      <c r="AG27" s="134"/>
      <c r="AH27" s="137"/>
      <c r="AI27" s="139"/>
      <c r="AJ27" s="137"/>
      <c r="AK27" s="144" t="s">
        <v>120</v>
      </c>
      <c r="AL27" s="137" t="str">
        <f>IF(AJ25="○",IF(AND(4100000&lt;AM1,AM1&lt;=7700000),"○",""),"")</f>
        <v/>
      </c>
      <c r="AM27" s="147" t="str">
        <f>IF(AL27="○",MAX(0,AM1*0.85-585000),"")</f>
        <v/>
      </c>
      <c r="AO27" s="134"/>
      <c r="AP27" s="137"/>
      <c r="AQ27" s="139"/>
      <c r="AR27" s="137"/>
      <c r="AS27" s="144" t="s">
        <v>120</v>
      </c>
      <c r="AT27" s="137" t="str">
        <f>IF(AR25="○",IF(AND(4100000&lt;AU1,AU1&lt;=7700000),"○",""),"")</f>
        <v/>
      </c>
      <c r="AU27" s="147" t="str">
        <f>IF(AT27="○",MAX(0,AU1*0.85-585000),"")</f>
        <v/>
      </c>
      <c r="AW27" s="134"/>
      <c r="AX27" s="137"/>
      <c r="AY27" s="139"/>
      <c r="AZ27" s="137"/>
      <c r="BA27" s="144" t="s">
        <v>120</v>
      </c>
      <c r="BB27" s="137" t="str">
        <f>IF(AZ25="○",IF(AND(4100000&lt;BC1,BC1&lt;=7700000),"○",""),"")</f>
        <v/>
      </c>
      <c r="BC27" s="147" t="str">
        <f>IF(BB27="○",MAX(0,BC1*0.85-585000),"")</f>
        <v/>
      </c>
      <c r="BE27" s="134"/>
      <c r="BF27" s="137"/>
      <c r="BG27" s="139"/>
      <c r="BH27" s="137"/>
      <c r="BI27" s="144" t="s">
        <v>120</v>
      </c>
      <c r="BJ27" s="137" t="str">
        <f>IF(BH25="○",IF(AND(4100000&lt;BK1,BK1&lt;=7700000),"○",""),"")</f>
        <v/>
      </c>
      <c r="BK27" s="147" t="str">
        <f>IF(BJ27="○",MAX(0,BK1*0.85-585000),"")</f>
        <v/>
      </c>
    </row>
    <row r="28" spans="1:63" ht="18.75" customHeight="1">
      <c r="A28" s="134"/>
      <c r="B28" s="137"/>
      <c r="C28" s="139"/>
      <c r="D28" s="137"/>
      <c r="E28" s="144" t="s">
        <v>121</v>
      </c>
      <c r="F28" s="137" t="str">
        <f>IF(D25="○",IF(AND(7700000&lt;G1,G1&lt;=10000000),"○",""),"")</f>
        <v/>
      </c>
      <c r="G28" s="147" t="str">
        <f>IF(F28="○",MAX(0,G1*0.95-1355000),"")</f>
        <v/>
      </c>
      <c r="I28" s="134"/>
      <c r="J28" s="137"/>
      <c r="K28" s="139"/>
      <c r="L28" s="137"/>
      <c r="M28" s="144" t="s">
        <v>121</v>
      </c>
      <c r="N28" s="137" t="str">
        <f>IF(L25="○",IF(AND(7700000&lt;O1,O1&lt;=10000000),"○",""),"")</f>
        <v/>
      </c>
      <c r="O28" s="147" t="str">
        <f>IF(N28="○",MAX(0,O1*0.95-1355000),"")</f>
        <v/>
      </c>
      <c r="Q28" s="134"/>
      <c r="R28" s="137"/>
      <c r="S28" s="139"/>
      <c r="T28" s="137"/>
      <c r="U28" s="144" t="s">
        <v>121</v>
      </c>
      <c r="V28" s="137" t="str">
        <f>IF(T25="○",IF(AND(7700000&lt;W1,W1&lt;=10000000),"○",""),"")</f>
        <v/>
      </c>
      <c r="W28" s="147" t="str">
        <f>IF(V28="○",MAX(0,W1*0.95-1355000),"")</f>
        <v/>
      </c>
      <c r="Y28" s="134"/>
      <c r="Z28" s="137"/>
      <c r="AA28" s="139"/>
      <c r="AB28" s="137"/>
      <c r="AC28" s="144" t="s">
        <v>121</v>
      </c>
      <c r="AD28" s="137" t="str">
        <f>IF(AB25="○",IF(AND(7700000&lt;AE1,AE1&lt;=10000000),"○",""),"")</f>
        <v/>
      </c>
      <c r="AE28" s="147" t="str">
        <f>IF(AD28="○",MAX(0,AE1*0.95-1355000),"")</f>
        <v/>
      </c>
      <c r="AG28" s="134"/>
      <c r="AH28" s="137"/>
      <c r="AI28" s="139"/>
      <c r="AJ28" s="137"/>
      <c r="AK28" s="144" t="s">
        <v>121</v>
      </c>
      <c r="AL28" s="137" t="str">
        <f>IF(AJ25="○",IF(AND(7700000&lt;AM1,AM1&lt;=10000000),"○",""),"")</f>
        <v/>
      </c>
      <c r="AM28" s="147" t="str">
        <f>IF(AL28="○",MAX(0,AM1*0.95-1355000),"")</f>
        <v/>
      </c>
      <c r="AO28" s="134"/>
      <c r="AP28" s="137"/>
      <c r="AQ28" s="139"/>
      <c r="AR28" s="137"/>
      <c r="AS28" s="144" t="s">
        <v>121</v>
      </c>
      <c r="AT28" s="137" t="str">
        <f>IF(AR25="○",IF(AND(7700000&lt;AU1,AU1&lt;=10000000),"○",""),"")</f>
        <v/>
      </c>
      <c r="AU28" s="147" t="str">
        <f>IF(AT28="○",MAX(0,AU1*0.95-1355000),"")</f>
        <v/>
      </c>
      <c r="AW28" s="134"/>
      <c r="AX28" s="137"/>
      <c r="AY28" s="139"/>
      <c r="AZ28" s="137"/>
      <c r="BA28" s="144" t="s">
        <v>121</v>
      </c>
      <c r="BB28" s="137" t="str">
        <f>IF(AZ25="○",IF(AND(7700000&lt;BC1,BC1&lt;=10000000),"○",""),"")</f>
        <v/>
      </c>
      <c r="BC28" s="147" t="str">
        <f>IF(BB28="○",MAX(0,BC1*0.95-1355000),"")</f>
        <v/>
      </c>
      <c r="BE28" s="134"/>
      <c r="BF28" s="137"/>
      <c r="BG28" s="139"/>
      <c r="BH28" s="137"/>
      <c r="BI28" s="144" t="s">
        <v>121</v>
      </c>
      <c r="BJ28" s="137" t="str">
        <f>IF(BH25="○",IF(AND(7700000&lt;BK1,BK1&lt;=10000000),"○",""),"")</f>
        <v/>
      </c>
      <c r="BK28" s="147" t="str">
        <f>IF(BJ28="○",MAX(0,BK1*0.95-1355000),"")</f>
        <v/>
      </c>
    </row>
    <row r="29" spans="1:63" ht="18.75" customHeight="1">
      <c r="A29" s="134"/>
      <c r="B29" s="137"/>
      <c r="C29" s="139"/>
      <c r="D29" s="137"/>
      <c r="E29" s="144" t="s">
        <v>122</v>
      </c>
      <c r="F29" s="137" t="str">
        <f>IF(D25="○",IF(10000000&lt;G1,"○",""),"")</f>
        <v/>
      </c>
      <c r="G29" s="147" t="str">
        <f>IF(F29="○",MAX(0,G1-1855000),"")</f>
        <v/>
      </c>
      <c r="I29" s="134"/>
      <c r="J29" s="137"/>
      <c r="K29" s="139"/>
      <c r="L29" s="137"/>
      <c r="M29" s="144" t="s">
        <v>122</v>
      </c>
      <c r="N29" s="137" t="str">
        <f>IF(L25="○",IF(10000000&lt;O1,"○",""),"")</f>
        <v/>
      </c>
      <c r="O29" s="147" t="str">
        <f>IF(N29="○",MAX(0,O1-1855000),"")</f>
        <v/>
      </c>
      <c r="Q29" s="134"/>
      <c r="R29" s="137"/>
      <c r="S29" s="139"/>
      <c r="T29" s="137"/>
      <c r="U29" s="144" t="s">
        <v>122</v>
      </c>
      <c r="V29" s="137" t="str">
        <f>IF(T25="○",IF(10000000&lt;W1,"○",""),"")</f>
        <v/>
      </c>
      <c r="W29" s="147" t="str">
        <f>IF(V29="○",MAX(0,W1-1855000),"")</f>
        <v/>
      </c>
      <c r="Y29" s="134"/>
      <c r="Z29" s="137"/>
      <c r="AA29" s="139"/>
      <c r="AB29" s="137"/>
      <c r="AC29" s="144" t="s">
        <v>122</v>
      </c>
      <c r="AD29" s="137" t="str">
        <f>IF(AB25="○",IF(10000000&lt;AE1,"○",""),"")</f>
        <v/>
      </c>
      <c r="AE29" s="147" t="str">
        <f>IF(AD29="○",MAX(0,AE1-1855000),"")</f>
        <v/>
      </c>
      <c r="AG29" s="134"/>
      <c r="AH29" s="137"/>
      <c r="AI29" s="139"/>
      <c r="AJ29" s="137"/>
      <c r="AK29" s="144" t="s">
        <v>122</v>
      </c>
      <c r="AL29" s="137" t="str">
        <f>IF(AJ25="○",IF(10000000&lt;AM1,"○",""),"")</f>
        <v/>
      </c>
      <c r="AM29" s="147" t="str">
        <f>IF(AL29="○",MAX(0,AM1-1855000),"")</f>
        <v/>
      </c>
      <c r="AO29" s="134"/>
      <c r="AP29" s="137"/>
      <c r="AQ29" s="139"/>
      <c r="AR29" s="137"/>
      <c r="AS29" s="144" t="s">
        <v>122</v>
      </c>
      <c r="AT29" s="137" t="str">
        <f>IF(AR25="○",IF(10000000&lt;AU1,"○",""),"")</f>
        <v/>
      </c>
      <c r="AU29" s="147" t="str">
        <f>IF(AT29="○",MAX(0,AU1-1855000),"")</f>
        <v/>
      </c>
      <c r="AW29" s="134"/>
      <c r="AX29" s="137"/>
      <c r="AY29" s="139"/>
      <c r="AZ29" s="137"/>
      <c r="BA29" s="144" t="s">
        <v>122</v>
      </c>
      <c r="BB29" s="137" t="str">
        <f>IF(AZ25="○",IF(10000000&lt;BC1,"○",""),"")</f>
        <v/>
      </c>
      <c r="BC29" s="147" t="str">
        <f>IF(BB29="○",MAX(0,BC1-1855000),"")</f>
        <v/>
      </c>
      <c r="BE29" s="134"/>
      <c r="BF29" s="137"/>
      <c r="BG29" s="139"/>
      <c r="BH29" s="137"/>
      <c r="BI29" s="144" t="s">
        <v>122</v>
      </c>
      <c r="BJ29" s="137" t="str">
        <f>IF(BH25="○",IF(10000000&lt;BK1,"○",""),"")</f>
        <v/>
      </c>
      <c r="BK29" s="147" t="str">
        <f>IF(BJ29="○",MAX(0,BK1-1855000),"")</f>
        <v/>
      </c>
    </row>
    <row r="30" spans="1:63" ht="18.75" customHeight="1">
      <c r="A30" s="134"/>
      <c r="B30" s="137"/>
      <c r="C30" s="139" t="s">
        <v>124</v>
      </c>
      <c r="D30" s="137" t="str">
        <f>IF(B20="○",IF(20000000&lt;G2,"○",""),"")</f>
        <v/>
      </c>
      <c r="E30" s="144" t="s">
        <v>82</v>
      </c>
      <c r="F30" s="137" t="str">
        <f>IF(D30="○",IF(G1&lt;=3300000,"○",""),"")</f>
        <v/>
      </c>
      <c r="G30" s="147" t="str">
        <f>IF(F30="○",MAX(0,G1-900000),"")</f>
        <v/>
      </c>
      <c r="I30" s="134"/>
      <c r="J30" s="137"/>
      <c r="K30" s="139" t="s">
        <v>124</v>
      </c>
      <c r="L30" s="137" t="str">
        <f>IF(J20="○",IF(20000000&lt;O2,"○",""),"")</f>
        <v/>
      </c>
      <c r="M30" s="144" t="s">
        <v>82</v>
      </c>
      <c r="N30" s="137" t="str">
        <f>IF(L30="○",IF(O1&lt;=3300000,"○",""),"")</f>
        <v/>
      </c>
      <c r="O30" s="147" t="str">
        <f>IF(N30="○",MAX(0,O1-900000),"")</f>
        <v/>
      </c>
      <c r="Q30" s="134"/>
      <c r="R30" s="137"/>
      <c r="S30" s="139" t="s">
        <v>124</v>
      </c>
      <c r="T30" s="137" t="str">
        <f>IF(R20="○",IF(20000000&lt;W2,"○",""),"")</f>
        <v/>
      </c>
      <c r="U30" s="144" t="s">
        <v>82</v>
      </c>
      <c r="V30" s="137" t="str">
        <f>IF(T30="○",IF(W1&lt;=3300000,"○",""),"")</f>
        <v/>
      </c>
      <c r="W30" s="147" t="str">
        <f>IF(V30="○",MAX(0,W1-900000),"")</f>
        <v/>
      </c>
      <c r="Y30" s="134"/>
      <c r="Z30" s="137"/>
      <c r="AA30" s="139" t="s">
        <v>124</v>
      </c>
      <c r="AB30" s="137" t="str">
        <f>IF(Z20="○",IF(20000000&lt;AE2,"○",""),"")</f>
        <v/>
      </c>
      <c r="AC30" s="144" t="s">
        <v>82</v>
      </c>
      <c r="AD30" s="137" t="str">
        <f>IF(AB30="○",IF(AE1&lt;=3300000,"○",""),"")</f>
        <v/>
      </c>
      <c r="AE30" s="147" t="str">
        <f>IF(AD30="○",MAX(0,AE1-900000),"")</f>
        <v/>
      </c>
      <c r="AG30" s="134"/>
      <c r="AH30" s="137"/>
      <c r="AI30" s="139" t="s">
        <v>124</v>
      </c>
      <c r="AJ30" s="137" t="str">
        <f>IF(AH20="○",IF(20000000&lt;AM2,"○",""),"")</f>
        <v/>
      </c>
      <c r="AK30" s="144" t="s">
        <v>82</v>
      </c>
      <c r="AL30" s="137" t="str">
        <f>IF(AJ30="○",IF(AM1&lt;=3300000,"○",""),"")</f>
        <v/>
      </c>
      <c r="AM30" s="147" t="str">
        <f>IF(AL30="○",MAX(0,AM1-900000),"")</f>
        <v/>
      </c>
      <c r="AO30" s="134"/>
      <c r="AP30" s="137"/>
      <c r="AQ30" s="139" t="s">
        <v>124</v>
      </c>
      <c r="AR30" s="137" t="str">
        <f>IF(AP20="○",IF(20000000&lt;AU2,"○",""),"")</f>
        <v/>
      </c>
      <c r="AS30" s="144" t="s">
        <v>82</v>
      </c>
      <c r="AT30" s="137" t="str">
        <f>IF(AR30="○",IF(AU1&lt;=3300000,"○",""),"")</f>
        <v/>
      </c>
      <c r="AU30" s="147" t="str">
        <f>IF(AT30="○",MAX(0,AU1-900000),"")</f>
        <v/>
      </c>
      <c r="AW30" s="134"/>
      <c r="AX30" s="137"/>
      <c r="AY30" s="139" t="s">
        <v>124</v>
      </c>
      <c r="AZ30" s="137" t="str">
        <f>IF(AX20="○",IF(20000000&lt;BC2,"○",""),"")</f>
        <v/>
      </c>
      <c r="BA30" s="144" t="s">
        <v>82</v>
      </c>
      <c r="BB30" s="137" t="str">
        <f>IF(AZ30="○",IF(BC1&lt;=3300000,"○",""),"")</f>
        <v/>
      </c>
      <c r="BC30" s="147" t="str">
        <f>IF(BB30="○",MAX(0,BC1-900000),"")</f>
        <v/>
      </c>
      <c r="BE30" s="134"/>
      <c r="BF30" s="137"/>
      <c r="BG30" s="139" t="s">
        <v>124</v>
      </c>
      <c r="BH30" s="137" t="str">
        <f>IF(BF20="○",IF(20000000&lt;BK2,"○",""),"")</f>
        <v/>
      </c>
      <c r="BI30" s="144" t="s">
        <v>82</v>
      </c>
      <c r="BJ30" s="137" t="str">
        <f>IF(BH30="○",IF(BK1&lt;=3300000,"○",""),"")</f>
        <v/>
      </c>
      <c r="BK30" s="147" t="str">
        <f>IF(BJ30="○",MAX(0,BK1-900000),"")</f>
        <v/>
      </c>
    </row>
    <row r="31" spans="1:63" ht="18.75" customHeight="1">
      <c r="A31" s="134"/>
      <c r="B31" s="137"/>
      <c r="C31" s="139"/>
      <c r="D31" s="137"/>
      <c r="E31" s="144" t="s">
        <v>116</v>
      </c>
      <c r="F31" s="137" t="str">
        <f>IF(D30="○",IF(AND(3300000&lt;G1,G1&lt;=4100000),"○",""),"")</f>
        <v/>
      </c>
      <c r="G31" s="147" t="str">
        <f>IF(F31="○",MAX(0,G1*0.75-75000),"")</f>
        <v/>
      </c>
      <c r="I31" s="134"/>
      <c r="J31" s="137"/>
      <c r="K31" s="139"/>
      <c r="L31" s="137"/>
      <c r="M31" s="144" t="s">
        <v>116</v>
      </c>
      <c r="N31" s="137" t="str">
        <f>IF(L30="○",IF(AND(3300000&lt;O1,O1&lt;=4100000),"○",""),"")</f>
        <v/>
      </c>
      <c r="O31" s="147" t="str">
        <f>IF(N31="○",MAX(0,O1*0.75-75000),"")</f>
        <v/>
      </c>
      <c r="Q31" s="134"/>
      <c r="R31" s="137"/>
      <c r="S31" s="139"/>
      <c r="T31" s="137"/>
      <c r="U31" s="144" t="s">
        <v>116</v>
      </c>
      <c r="V31" s="137" t="str">
        <f>IF(T30="○",IF(AND(3300000&lt;W1,W1&lt;=4100000),"○",""),"")</f>
        <v/>
      </c>
      <c r="W31" s="147" t="str">
        <f>IF(V31="○",MAX(0,W1*0.75-75000),"")</f>
        <v/>
      </c>
      <c r="Y31" s="134"/>
      <c r="Z31" s="137"/>
      <c r="AA31" s="139"/>
      <c r="AB31" s="137"/>
      <c r="AC31" s="144" t="s">
        <v>116</v>
      </c>
      <c r="AD31" s="137" t="str">
        <f>IF(AB30="○",IF(AND(3300000&lt;AE1,AE1&lt;=4100000),"○",""),"")</f>
        <v/>
      </c>
      <c r="AE31" s="147" t="str">
        <f>IF(AD31="○",MAX(0,AE1*0.75-75000),"")</f>
        <v/>
      </c>
      <c r="AG31" s="134"/>
      <c r="AH31" s="137"/>
      <c r="AI31" s="139"/>
      <c r="AJ31" s="137"/>
      <c r="AK31" s="144" t="s">
        <v>116</v>
      </c>
      <c r="AL31" s="137" t="str">
        <f>IF(AJ30="○",IF(AND(3300000&lt;AM1,AM1&lt;=4100000),"○",""),"")</f>
        <v/>
      </c>
      <c r="AM31" s="147" t="str">
        <f>IF(AL31="○",MAX(0,AM1*0.75-75000),"")</f>
        <v/>
      </c>
      <c r="AO31" s="134"/>
      <c r="AP31" s="137"/>
      <c r="AQ31" s="139"/>
      <c r="AR31" s="137"/>
      <c r="AS31" s="144" t="s">
        <v>116</v>
      </c>
      <c r="AT31" s="137" t="str">
        <f>IF(AR30="○",IF(AND(3300000&lt;AU1,AU1&lt;=4100000),"○",""),"")</f>
        <v/>
      </c>
      <c r="AU31" s="147" t="str">
        <f>IF(AT31="○",MAX(0,AU1*0.75-75000),"")</f>
        <v/>
      </c>
      <c r="AW31" s="134"/>
      <c r="AX31" s="137"/>
      <c r="AY31" s="139"/>
      <c r="AZ31" s="137"/>
      <c r="BA31" s="144" t="s">
        <v>116</v>
      </c>
      <c r="BB31" s="137" t="str">
        <f>IF(AZ30="○",IF(AND(3300000&lt;BC1,BC1&lt;=4100000),"○",""),"")</f>
        <v/>
      </c>
      <c r="BC31" s="147" t="str">
        <f>IF(BB31="○",MAX(0,BC1*0.75-75000),"")</f>
        <v/>
      </c>
      <c r="BE31" s="134"/>
      <c r="BF31" s="137"/>
      <c r="BG31" s="139"/>
      <c r="BH31" s="137"/>
      <c r="BI31" s="144" t="s">
        <v>116</v>
      </c>
      <c r="BJ31" s="137" t="str">
        <f>IF(BH30="○",IF(AND(3300000&lt;BK1,BK1&lt;=4100000),"○",""),"")</f>
        <v/>
      </c>
      <c r="BK31" s="147" t="str">
        <f>IF(BJ31="○",MAX(0,BK1*0.75-75000),"")</f>
        <v/>
      </c>
    </row>
    <row r="32" spans="1:63" ht="18.75" customHeight="1">
      <c r="A32" s="134"/>
      <c r="B32" s="137"/>
      <c r="C32" s="139"/>
      <c r="D32" s="137"/>
      <c r="E32" s="144" t="s">
        <v>120</v>
      </c>
      <c r="F32" s="137" t="str">
        <f>IF(D30="○",IF(AND(4100000&lt;G1,G1&lt;=7700000),"○",""),"")</f>
        <v/>
      </c>
      <c r="G32" s="147" t="str">
        <f>IF(F32="○",MAX(0,G1*0.85-485000),"")</f>
        <v/>
      </c>
      <c r="I32" s="134"/>
      <c r="J32" s="137"/>
      <c r="K32" s="139"/>
      <c r="L32" s="137"/>
      <c r="M32" s="144" t="s">
        <v>120</v>
      </c>
      <c r="N32" s="137" t="str">
        <f>IF(L30="○",IF(AND(4100000&lt;O1,O1&lt;=7700000),"○",""),"")</f>
        <v/>
      </c>
      <c r="O32" s="147" t="str">
        <f>IF(N32="○",MAX(0,O1*0.85-485000),"")</f>
        <v/>
      </c>
      <c r="Q32" s="134"/>
      <c r="R32" s="137"/>
      <c r="S32" s="139"/>
      <c r="T32" s="137"/>
      <c r="U32" s="144" t="s">
        <v>120</v>
      </c>
      <c r="V32" s="137" t="str">
        <f>IF(T30="○",IF(AND(4100000&lt;W1,W1&lt;=7700000),"○",""),"")</f>
        <v/>
      </c>
      <c r="W32" s="147" t="str">
        <f>IF(V32="○",MAX(0,W1*0.85-485000),"")</f>
        <v/>
      </c>
      <c r="Y32" s="134"/>
      <c r="Z32" s="137"/>
      <c r="AA32" s="139"/>
      <c r="AB32" s="137"/>
      <c r="AC32" s="144" t="s">
        <v>120</v>
      </c>
      <c r="AD32" s="137" t="str">
        <f>IF(AB30="○",IF(AND(4100000&lt;AE1,AE1&lt;=7700000),"○",""),"")</f>
        <v/>
      </c>
      <c r="AE32" s="147" t="str">
        <f>IF(AD32="○",MAX(0,AE1*0.85-485000),"")</f>
        <v/>
      </c>
      <c r="AG32" s="134"/>
      <c r="AH32" s="137"/>
      <c r="AI32" s="139"/>
      <c r="AJ32" s="137"/>
      <c r="AK32" s="144" t="s">
        <v>120</v>
      </c>
      <c r="AL32" s="137" t="str">
        <f>IF(AJ30="○",IF(AND(4100000&lt;AM1,AM1&lt;=7700000),"○",""),"")</f>
        <v/>
      </c>
      <c r="AM32" s="147" t="str">
        <f>IF(AL32="○",MAX(0,AM1*0.85-485000),"")</f>
        <v/>
      </c>
      <c r="AO32" s="134"/>
      <c r="AP32" s="137"/>
      <c r="AQ32" s="139"/>
      <c r="AR32" s="137"/>
      <c r="AS32" s="144" t="s">
        <v>120</v>
      </c>
      <c r="AT32" s="137" t="str">
        <f>IF(AR30="○",IF(AND(4100000&lt;AU1,AU1&lt;=7700000),"○",""),"")</f>
        <v/>
      </c>
      <c r="AU32" s="147" t="str">
        <f>IF(AT32="○",MAX(0,AU1*0.85-485000),"")</f>
        <v/>
      </c>
      <c r="AW32" s="134"/>
      <c r="AX32" s="137"/>
      <c r="AY32" s="139"/>
      <c r="AZ32" s="137"/>
      <c r="BA32" s="144" t="s">
        <v>120</v>
      </c>
      <c r="BB32" s="137" t="str">
        <f>IF(AZ30="○",IF(AND(4100000&lt;BC1,BC1&lt;=7700000),"○",""),"")</f>
        <v/>
      </c>
      <c r="BC32" s="147" t="str">
        <f>IF(BB32="○",MAX(0,BC1*0.85-485000),"")</f>
        <v/>
      </c>
      <c r="BE32" s="134"/>
      <c r="BF32" s="137"/>
      <c r="BG32" s="139"/>
      <c r="BH32" s="137"/>
      <c r="BI32" s="144" t="s">
        <v>120</v>
      </c>
      <c r="BJ32" s="137" t="str">
        <f>IF(BH30="○",IF(AND(4100000&lt;BK1,BK1&lt;=7700000),"○",""),"")</f>
        <v/>
      </c>
      <c r="BK32" s="147" t="str">
        <f>IF(BJ32="○",MAX(0,BK1*0.85-485000),"")</f>
        <v/>
      </c>
    </row>
    <row r="33" spans="1:63" ht="18.75" customHeight="1">
      <c r="A33" s="134"/>
      <c r="B33" s="137"/>
      <c r="C33" s="139"/>
      <c r="D33" s="137"/>
      <c r="E33" s="144" t="s">
        <v>121</v>
      </c>
      <c r="F33" s="137" t="str">
        <f>IF(D30="○",IF(AND(7700000&lt;G1,G1&lt;=10000000),"○",""),"")</f>
        <v/>
      </c>
      <c r="G33" s="147" t="str">
        <f>IF(F33="○",MAX(0,G1*0.95-1255000),"")</f>
        <v/>
      </c>
      <c r="I33" s="134"/>
      <c r="J33" s="137"/>
      <c r="K33" s="139"/>
      <c r="L33" s="137"/>
      <c r="M33" s="144" t="s">
        <v>121</v>
      </c>
      <c r="N33" s="137" t="str">
        <f>IF(L30="○",IF(AND(7700000&lt;O1,O1&lt;=10000000),"○",""),"")</f>
        <v/>
      </c>
      <c r="O33" s="147" t="str">
        <f>IF(N33="○",MAX(0,O1*0.95-1255000),"")</f>
        <v/>
      </c>
      <c r="Q33" s="134"/>
      <c r="R33" s="137"/>
      <c r="S33" s="139"/>
      <c r="T33" s="137"/>
      <c r="U33" s="144" t="s">
        <v>121</v>
      </c>
      <c r="V33" s="137" t="str">
        <f>IF(T30="○",IF(AND(7700000&lt;W1,W1&lt;=10000000),"○",""),"")</f>
        <v/>
      </c>
      <c r="W33" s="147" t="str">
        <f>IF(V33="○",MAX(0,W1*0.95-1255000),"")</f>
        <v/>
      </c>
      <c r="Y33" s="134"/>
      <c r="Z33" s="137"/>
      <c r="AA33" s="139"/>
      <c r="AB33" s="137"/>
      <c r="AC33" s="144" t="s">
        <v>121</v>
      </c>
      <c r="AD33" s="137" t="str">
        <f>IF(AB30="○",IF(AND(7700000&lt;AE1,AE1&lt;=10000000),"○",""),"")</f>
        <v/>
      </c>
      <c r="AE33" s="147" t="str">
        <f>IF(AD33="○",MAX(0,AE1*0.95-1255000),"")</f>
        <v/>
      </c>
      <c r="AG33" s="134"/>
      <c r="AH33" s="137"/>
      <c r="AI33" s="139"/>
      <c r="AJ33" s="137"/>
      <c r="AK33" s="144" t="s">
        <v>121</v>
      </c>
      <c r="AL33" s="137" t="str">
        <f>IF(AJ30="○",IF(AND(7700000&lt;AM1,AM1&lt;=10000000),"○",""),"")</f>
        <v/>
      </c>
      <c r="AM33" s="147" t="str">
        <f>IF(AL33="○",MAX(0,AM1*0.95-1255000),"")</f>
        <v/>
      </c>
      <c r="AO33" s="134"/>
      <c r="AP33" s="137"/>
      <c r="AQ33" s="139"/>
      <c r="AR33" s="137"/>
      <c r="AS33" s="144" t="s">
        <v>121</v>
      </c>
      <c r="AT33" s="137" t="str">
        <f>IF(AR30="○",IF(AND(7700000&lt;AU1,AU1&lt;=10000000),"○",""),"")</f>
        <v/>
      </c>
      <c r="AU33" s="147" t="str">
        <f>IF(AT33="○",MAX(0,AU1*0.95-1255000),"")</f>
        <v/>
      </c>
      <c r="AW33" s="134"/>
      <c r="AX33" s="137"/>
      <c r="AY33" s="139"/>
      <c r="AZ33" s="137"/>
      <c r="BA33" s="144" t="s">
        <v>121</v>
      </c>
      <c r="BB33" s="137" t="str">
        <f>IF(AZ30="○",IF(AND(7700000&lt;BC1,BC1&lt;=10000000),"○",""),"")</f>
        <v/>
      </c>
      <c r="BC33" s="147" t="str">
        <f>IF(BB33="○",MAX(0,BC1*0.95-1255000),"")</f>
        <v/>
      </c>
      <c r="BE33" s="134"/>
      <c r="BF33" s="137"/>
      <c r="BG33" s="139"/>
      <c r="BH33" s="137"/>
      <c r="BI33" s="144" t="s">
        <v>121</v>
      </c>
      <c r="BJ33" s="137" t="str">
        <f>IF(BH30="○",IF(AND(7700000&lt;BK1,BK1&lt;=10000000),"○",""),"")</f>
        <v/>
      </c>
      <c r="BK33" s="147" t="str">
        <f>IF(BJ33="○",MAX(0,BK1*0.95-1255000),"")</f>
        <v/>
      </c>
    </row>
    <row r="34" spans="1:63" ht="18.75" customHeight="1">
      <c r="A34" s="134"/>
      <c r="B34" s="137"/>
      <c r="C34" s="139"/>
      <c r="D34" s="137"/>
      <c r="E34" s="144" t="s">
        <v>122</v>
      </c>
      <c r="F34" s="137" t="str">
        <f>IF(D30="○",IF(10000000&lt;G1,"○",""),"")</f>
        <v/>
      </c>
      <c r="G34" s="147" t="str">
        <f>IF(F34="○",MAX(0,G1-1755000),"")</f>
        <v/>
      </c>
      <c r="I34" s="134"/>
      <c r="J34" s="137"/>
      <c r="K34" s="139"/>
      <c r="L34" s="137"/>
      <c r="M34" s="144" t="s">
        <v>122</v>
      </c>
      <c r="N34" s="137" t="str">
        <f>IF(L30="○",IF(10000000&lt;O1,"○",""),"")</f>
        <v/>
      </c>
      <c r="O34" s="147" t="str">
        <f>IF(N34="○",MAX(0,O1-1755000),"")</f>
        <v/>
      </c>
      <c r="Q34" s="134"/>
      <c r="R34" s="137"/>
      <c r="S34" s="139"/>
      <c r="T34" s="137"/>
      <c r="U34" s="144" t="s">
        <v>122</v>
      </c>
      <c r="V34" s="137" t="str">
        <f>IF(T30="○",IF(10000000&lt;W1,"○",""),"")</f>
        <v/>
      </c>
      <c r="W34" s="147" t="str">
        <f>IF(V34="○",MAX(0,W1-1755000),"")</f>
        <v/>
      </c>
      <c r="Y34" s="134"/>
      <c r="Z34" s="137"/>
      <c r="AA34" s="139"/>
      <c r="AB34" s="137"/>
      <c r="AC34" s="144" t="s">
        <v>122</v>
      </c>
      <c r="AD34" s="137" t="str">
        <f>IF(AB30="○",IF(10000000&lt;AE1,"○",""),"")</f>
        <v/>
      </c>
      <c r="AE34" s="147" t="str">
        <f>IF(AD34="○",MAX(0,AE1-1755000),"")</f>
        <v/>
      </c>
      <c r="AG34" s="134"/>
      <c r="AH34" s="137"/>
      <c r="AI34" s="139"/>
      <c r="AJ34" s="137"/>
      <c r="AK34" s="144" t="s">
        <v>122</v>
      </c>
      <c r="AL34" s="137" t="str">
        <f>IF(AJ30="○",IF(10000000&lt;AM1,"○",""),"")</f>
        <v/>
      </c>
      <c r="AM34" s="147" t="str">
        <f>IF(AL34="○",MAX(0,AM1-1755000),"")</f>
        <v/>
      </c>
      <c r="AO34" s="134"/>
      <c r="AP34" s="137"/>
      <c r="AQ34" s="139"/>
      <c r="AR34" s="137"/>
      <c r="AS34" s="144" t="s">
        <v>122</v>
      </c>
      <c r="AT34" s="137" t="str">
        <f>IF(AR30="○",IF(10000000&lt;AU1,"○",""),"")</f>
        <v/>
      </c>
      <c r="AU34" s="147" t="str">
        <f>IF(AT34="○",MAX(0,AU1-1755000),"")</f>
        <v/>
      </c>
      <c r="AW34" s="134"/>
      <c r="AX34" s="137"/>
      <c r="AY34" s="139"/>
      <c r="AZ34" s="137"/>
      <c r="BA34" s="144" t="s">
        <v>122</v>
      </c>
      <c r="BB34" s="137" t="str">
        <f>IF(AZ30="○",IF(10000000&lt;BC1,"○",""),"")</f>
        <v/>
      </c>
      <c r="BC34" s="147" t="str">
        <f>IF(BB34="○",MAX(0,BC1-1755000),"")</f>
        <v/>
      </c>
      <c r="BE34" s="134"/>
      <c r="BF34" s="137"/>
      <c r="BG34" s="139"/>
      <c r="BH34" s="137"/>
      <c r="BI34" s="144" t="s">
        <v>122</v>
      </c>
      <c r="BJ34" s="137" t="str">
        <f>IF(BH30="○",IF(10000000&lt;BK1,"○",""),"")</f>
        <v/>
      </c>
      <c r="BK34" s="147" t="str">
        <f>IF(BJ34="○",MAX(0,BK1-1755000),"")</f>
        <v/>
      </c>
    </row>
  </sheetData>
  <mergeCells count="160">
    <mergeCell ref="E2:F2"/>
    <mergeCell ref="M2:N2"/>
    <mergeCell ref="U2:V2"/>
    <mergeCell ref="AC2:AD2"/>
    <mergeCell ref="AK2:AL2"/>
    <mergeCell ref="AS2:AT2"/>
    <mergeCell ref="BA2:BB2"/>
    <mergeCell ref="BI2:BJ2"/>
    <mergeCell ref="A4:B4"/>
    <mergeCell ref="C4:D4"/>
    <mergeCell ref="E4:F4"/>
    <mergeCell ref="I4:J4"/>
    <mergeCell ref="K4:L4"/>
    <mergeCell ref="M4:N4"/>
    <mergeCell ref="Q4:R4"/>
    <mergeCell ref="S4:T4"/>
    <mergeCell ref="U4:V4"/>
    <mergeCell ref="Y4:Z4"/>
    <mergeCell ref="AA4:AB4"/>
    <mergeCell ref="AC4:AD4"/>
    <mergeCell ref="AG4:AH4"/>
    <mergeCell ref="AI4:AJ4"/>
    <mergeCell ref="AK4:AL4"/>
    <mergeCell ref="AO4:AP4"/>
    <mergeCell ref="AQ4:AR4"/>
    <mergeCell ref="AS4:AT4"/>
    <mergeCell ref="AW4:AX4"/>
    <mergeCell ref="AY4:AZ4"/>
    <mergeCell ref="BA4:BB4"/>
    <mergeCell ref="BE4:BF4"/>
    <mergeCell ref="BG4:BH4"/>
    <mergeCell ref="BI4:BJ4"/>
    <mergeCell ref="C5:C9"/>
    <mergeCell ref="D5:D9"/>
    <mergeCell ref="K5:K9"/>
    <mergeCell ref="L5:L9"/>
    <mergeCell ref="S5:S9"/>
    <mergeCell ref="T5:T9"/>
    <mergeCell ref="AA5:AA9"/>
    <mergeCell ref="AB5:AB9"/>
    <mergeCell ref="AI5:AI9"/>
    <mergeCell ref="AJ5:AJ9"/>
    <mergeCell ref="AQ5:AQ9"/>
    <mergeCell ref="AR5:AR9"/>
    <mergeCell ref="AY5:AY9"/>
    <mergeCell ref="AZ5:AZ9"/>
    <mergeCell ref="BG5:BG9"/>
    <mergeCell ref="BH5:BH9"/>
    <mergeCell ref="C10:C14"/>
    <mergeCell ref="D10:D14"/>
    <mergeCell ref="K10:K14"/>
    <mergeCell ref="L10:L14"/>
    <mergeCell ref="S10:S14"/>
    <mergeCell ref="T10:T14"/>
    <mergeCell ref="AA10:AA14"/>
    <mergeCell ref="AB10:AB14"/>
    <mergeCell ref="AI10:AI14"/>
    <mergeCell ref="AJ10:AJ14"/>
    <mergeCell ref="AQ10:AQ14"/>
    <mergeCell ref="AR10:AR14"/>
    <mergeCell ref="AY10:AY14"/>
    <mergeCell ref="AZ10:AZ14"/>
    <mergeCell ref="BG10:BG14"/>
    <mergeCell ref="BH10:BH14"/>
    <mergeCell ref="C15:C19"/>
    <mergeCell ref="D15:D19"/>
    <mergeCell ref="K15:K19"/>
    <mergeCell ref="L15:L19"/>
    <mergeCell ref="S15:S19"/>
    <mergeCell ref="T15:T19"/>
    <mergeCell ref="AA15:AA19"/>
    <mergeCell ref="AB15:AB19"/>
    <mergeCell ref="AI15:AI19"/>
    <mergeCell ref="AJ15:AJ19"/>
    <mergeCell ref="AQ15:AQ19"/>
    <mergeCell ref="AR15:AR19"/>
    <mergeCell ref="AY15:AY19"/>
    <mergeCell ref="AZ15:AZ19"/>
    <mergeCell ref="BG15:BG19"/>
    <mergeCell ref="BH15:BH19"/>
    <mergeCell ref="C20:C24"/>
    <mergeCell ref="D20:D24"/>
    <mergeCell ref="K20:K24"/>
    <mergeCell ref="L20:L24"/>
    <mergeCell ref="S20:S24"/>
    <mergeCell ref="T20:T24"/>
    <mergeCell ref="AA20:AA24"/>
    <mergeCell ref="AB20:AB24"/>
    <mergeCell ref="AI20:AI24"/>
    <mergeCell ref="AJ20:AJ24"/>
    <mergeCell ref="AQ20:AQ24"/>
    <mergeCell ref="AR20:AR24"/>
    <mergeCell ref="AY20:AY24"/>
    <mergeCell ref="AZ20:AZ24"/>
    <mergeCell ref="BG20:BG24"/>
    <mergeCell ref="BH20:BH24"/>
    <mergeCell ref="C25:C29"/>
    <mergeCell ref="D25:D29"/>
    <mergeCell ref="K25:K29"/>
    <mergeCell ref="L25:L29"/>
    <mergeCell ref="S25:S29"/>
    <mergeCell ref="T25:T29"/>
    <mergeCell ref="AA25:AA29"/>
    <mergeCell ref="AB25:AB29"/>
    <mergeCell ref="AI25:AI29"/>
    <mergeCell ref="AJ25:AJ29"/>
    <mergeCell ref="AQ25:AQ29"/>
    <mergeCell ref="AR25:AR29"/>
    <mergeCell ref="AY25:AY29"/>
    <mergeCell ref="AZ25:AZ29"/>
    <mergeCell ref="BG25:BG29"/>
    <mergeCell ref="BH25:BH29"/>
    <mergeCell ref="C30:C34"/>
    <mergeCell ref="D30:D34"/>
    <mergeCell ref="K30:K34"/>
    <mergeCell ref="L30:L34"/>
    <mergeCell ref="S30:S34"/>
    <mergeCell ref="T30:T34"/>
    <mergeCell ref="AA30:AA34"/>
    <mergeCell ref="AB30:AB34"/>
    <mergeCell ref="AI30:AI34"/>
    <mergeCell ref="AJ30:AJ34"/>
    <mergeCell ref="AQ30:AQ34"/>
    <mergeCell ref="AR30:AR34"/>
    <mergeCell ref="AY30:AY34"/>
    <mergeCell ref="AZ30:AZ34"/>
    <mergeCell ref="BG30:BG34"/>
    <mergeCell ref="BH30:BH34"/>
    <mergeCell ref="A5:A19"/>
    <mergeCell ref="B5:B19"/>
    <mergeCell ref="I5:I19"/>
    <mergeCell ref="J5:J19"/>
    <mergeCell ref="Q5:Q19"/>
    <mergeCell ref="R5:R19"/>
    <mergeCell ref="Y5:Y19"/>
    <mergeCell ref="Z5:Z19"/>
    <mergeCell ref="AG5:AG19"/>
    <mergeCell ref="AH5:AH19"/>
    <mergeCell ref="AO5:AO19"/>
    <mergeCell ref="AP5:AP19"/>
    <mergeCell ref="AW5:AW19"/>
    <mergeCell ref="AX5:AX19"/>
    <mergeCell ref="BE5:BE19"/>
    <mergeCell ref="BF5:BF19"/>
    <mergeCell ref="A20:A34"/>
    <mergeCell ref="B20:B34"/>
    <mergeCell ref="I20:I34"/>
    <mergeCell ref="J20:J34"/>
    <mergeCell ref="Q20:Q34"/>
    <mergeCell ref="R20:R34"/>
    <mergeCell ref="Y20:Y34"/>
    <mergeCell ref="Z20:Z34"/>
    <mergeCell ref="AG20:AG34"/>
    <mergeCell ref="AH20:AH34"/>
    <mergeCell ref="AO20:AO34"/>
    <mergeCell ref="AP20:AP34"/>
    <mergeCell ref="AW20:AW34"/>
    <mergeCell ref="AX20:AX34"/>
    <mergeCell ref="BE20:BE34"/>
    <mergeCell ref="BF20:BF34"/>
  </mergeCells>
  <phoneticPr fontId="1" type="Hiragana"/>
  <conditionalFormatting sqref="A5:A19">
    <cfRule type="expression" dxfId="33" priority="57">
      <formula>NOT($B$5="")</formula>
    </cfRule>
  </conditionalFormatting>
  <conditionalFormatting sqref="A20:A34">
    <cfRule type="expression" dxfId="32" priority="56">
      <formula>NOT($B$20="")</formula>
    </cfRule>
  </conditionalFormatting>
  <conditionalFormatting sqref="B5:B34 D5:D34 F5:F34 J5:J34 L5:L34 N5:N34 R5:R34 T5:T34 V5:V34 Z5:Z34 AB5:AB34 AD5:AD34 AH5:AH34 AJ5:AJ34 AL5:AL34 AP5:AP34 AR5:AR34 AT5:AT34 AX5:AX34 AZ5:AZ34 BB5:BB34 BF5:BF34 BH5:BH34 BJ5:BJ34">
    <cfRule type="containsText" dxfId="31" priority="58" text="○">
      <formula>NOT(ISERROR(SEARCH("○",B5)))</formula>
    </cfRule>
  </conditionalFormatting>
  <conditionalFormatting sqref="C5:C34">
    <cfRule type="expression" dxfId="30" priority="52">
      <formula>NOT($D5="")</formula>
    </cfRule>
  </conditionalFormatting>
  <conditionalFormatting sqref="E5:E34">
    <cfRule type="expression" dxfId="29" priority="54">
      <formula>NOT($F5="")</formula>
    </cfRule>
  </conditionalFormatting>
  <conditionalFormatting sqref="G5:G34">
    <cfRule type="expression" dxfId="28" priority="51">
      <formula>LEN(TRIM(G5))&gt;0</formula>
    </cfRule>
  </conditionalFormatting>
  <conditionalFormatting sqref="I5:I34">
    <cfRule type="expression" dxfId="27" priority="49">
      <formula>NOT($J5="")</formula>
    </cfRule>
  </conditionalFormatting>
  <conditionalFormatting sqref="K5:K34">
    <cfRule type="expression" dxfId="26" priority="47">
      <formula>NOT($L5="")</formula>
    </cfRule>
  </conditionalFormatting>
  <conditionalFormatting sqref="M5:M34">
    <cfRule type="expression" dxfId="25" priority="45">
      <formula>NOT($N5="")</formula>
    </cfRule>
  </conditionalFormatting>
  <conditionalFormatting sqref="O5:O34">
    <cfRule type="expression" dxfId="24" priority="44">
      <formula>LEN(TRIM(O5))&gt;0</formula>
    </cfRule>
  </conditionalFormatting>
  <conditionalFormatting sqref="Q5:Q34">
    <cfRule type="expression" dxfId="23" priority="42">
      <formula>NOT($R5="")</formula>
    </cfRule>
  </conditionalFormatting>
  <conditionalFormatting sqref="S5:S34">
    <cfRule type="expression" dxfId="22" priority="40">
      <formula>NOT($T5="")</formula>
    </cfRule>
  </conditionalFormatting>
  <conditionalFormatting sqref="U5:U34">
    <cfRule type="expression" dxfId="21" priority="38">
      <formula>NOT($V5="")</formula>
    </cfRule>
  </conditionalFormatting>
  <conditionalFormatting sqref="W5:W34">
    <cfRule type="expression" dxfId="20" priority="37">
      <formula>LEN(TRIM(W5))&gt;0</formula>
    </cfRule>
  </conditionalFormatting>
  <conditionalFormatting sqref="Y5:Y34">
    <cfRule type="expression" dxfId="19" priority="30">
      <formula>NOT($Z5="")</formula>
    </cfRule>
  </conditionalFormatting>
  <conditionalFormatting sqref="AA5:AA34">
    <cfRule type="expression" dxfId="18" priority="28">
      <formula>NOT($AB5="")</formula>
    </cfRule>
  </conditionalFormatting>
  <conditionalFormatting sqref="AC5:AC34">
    <cfRule type="expression" dxfId="17" priority="26">
      <formula>NOT($AD5="")</formula>
    </cfRule>
  </conditionalFormatting>
  <conditionalFormatting sqref="AE5:AE34">
    <cfRule type="expression" dxfId="16" priority="36">
      <formula>LEN(TRIM(AE5))&gt;0</formula>
    </cfRule>
  </conditionalFormatting>
  <conditionalFormatting sqref="AG5:AG34">
    <cfRule type="expression" dxfId="15" priority="24">
      <formula>NOT($AH5="")</formula>
    </cfRule>
  </conditionalFormatting>
  <conditionalFormatting sqref="AI5:AI34">
    <cfRule type="expression" dxfId="14" priority="22">
      <formula>NOT($AJ5="")</formula>
    </cfRule>
  </conditionalFormatting>
  <conditionalFormatting sqref="AK5:AK34">
    <cfRule type="expression" dxfId="13" priority="20">
      <formula>NOT($AL5="")</formula>
    </cfRule>
  </conditionalFormatting>
  <conditionalFormatting sqref="AM5:AM34">
    <cfRule type="expression" dxfId="12" priority="35">
      <formula>LEN(TRIM(AM5))&gt;0</formula>
    </cfRule>
  </conditionalFormatting>
  <conditionalFormatting sqref="AO5:AO34">
    <cfRule type="expression" dxfId="11" priority="18">
      <formula>NOT($AP5="")</formula>
    </cfRule>
  </conditionalFormatting>
  <conditionalFormatting sqref="AQ5:AQ34">
    <cfRule type="expression" dxfId="10" priority="16">
      <formula>NOT($AR5="")</formula>
    </cfRule>
  </conditionalFormatting>
  <conditionalFormatting sqref="AS5:AS34">
    <cfRule type="expression" dxfId="9" priority="14">
      <formula>NOT($AT5="")</formula>
    </cfRule>
  </conditionalFormatting>
  <conditionalFormatting sqref="AU5:AU34">
    <cfRule type="expression" dxfId="8" priority="34">
      <formula>LEN(TRIM(AU5))&gt;0</formula>
    </cfRule>
  </conditionalFormatting>
  <conditionalFormatting sqref="AW5:AW34">
    <cfRule type="expression" dxfId="7" priority="12">
      <formula>NOT($AX5="")</formula>
    </cfRule>
  </conditionalFormatting>
  <conditionalFormatting sqref="AY5:AY34">
    <cfRule type="expression" dxfId="6" priority="10">
      <formula>NOT($AZ5="")</formula>
    </cfRule>
  </conditionalFormatting>
  <conditionalFormatting sqref="BA5:BA34">
    <cfRule type="expression" dxfId="5" priority="8">
      <formula>NOT($BB5="")</formula>
    </cfRule>
  </conditionalFormatting>
  <conditionalFormatting sqref="BC5:BC34">
    <cfRule type="expression" dxfId="4" priority="33">
      <formula>LEN(TRIM(BC5))&gt;0</formula>
    </cfRule>
  </conditionalFormatting>
  <conditionalFormatting sqref="BE5:BE34">
    <cfRule type="expression" dxfId="3" priority="6">
      <formula>NOT($BF5="")</formula>
    </cfRule>
  </conditionalFormatting>
  <conditionalFormatting sqref="BG5:BG34">
    <cfRule type="expression" dxfId="2" priority="4">
      <formula>NOT($BH5="")</formula>
    </cfRule>
  </conditionalFormatting>
  <conditionalFormatting sqref="BI5:BI34">
    <cfRule type="expression" dxfId="1" priority="2">
      <formula>NOT($BJ5="")</formula>
    </cfRule>
  </conditionalFormatting>
  <conditionalFormatting sqref="BK5:BK34">
    <cfRule type="expression" dxfId="0" priority="32">
      <formula>LEN(TRIM(BK5))&gt;0</formula>
    </cfRule>
  </conditionalFormatting>
  <pageMargins left="0.7" right="0.7" top="0.75" bottom="0.75" header="0.511811023622047" footer="0.511811023622047"/>
  <pageSetup paperSize="9" fitToWidth="1" fitToHeight="1" orientation="portrait" usePrinterDefaults="1" horizontalDpi="300" verticalDpi="3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6</vt:i4>
      </vt:variant>
    </vt:vector>
  </HeadingPairs>
  <TitlesOfParts>
    <vt:vector size="6" baseType="lpstr">
      <vt:lpstr>使い方</vt:lpstr>
      <vt:lpstr>【令和8年度】小浜市国民健康保険税試算</vt:lpstr>
      <vt:lpstr>基礎情報</vt:lpstr>
      <vt:lpstr>軽減判定</vt:lpstr>
      <vt:lpstr>給与所得</vt:lpstr>
      <vt:lpstr>年金所得</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aaa</dc:creator>
  <cp:lastModifiedBy>吉岡 康宏</cp:lastModifiedBy>
  <cp:lastPrinted>2026-04-01T09:13:35Z</cp:lastPrinted>
  <dcterms:created xsi:type="dcterms:W3CDTF">2021-03-05T00:37:00Z</dcterms:created>
  <dcterms:modified xsi:type="dcterms:W3CDTF">2026-04-01T09:29:51Z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2026-04-01T09:29:51Z</vt:filetime>
  </property>
</Properties>
</file>